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605" windowHeight="9435" tabRatio="503" firstSheet="1" activeTab="7"/>
  </bookViews>
  <sheets>
    <sheet name="foxz" sheetId="8" state="veryHidden" r:id="rId1"/>
    <sheet name="1. CTCY" sheetId="1" r:id="rId2"/>
    <sheet name="2. NN-LN-TS" sheetId="2" r:id="rId3"/>
    <sheet name="3. CN" sheetId="3" r:id="rId4"/>
    <sheet name="4. DV" sheetId="4" r:id="rId5"/>
    <sheet name="5. GDĐT-KHCN" sheetId="5" r:id="rId6"/>
    <sheet name="6. DSYT" sheetId="6" r:id="rId7"/>
    <sheet name="7. HTX" sheetId="7" r:id="rId8"/>
    <sheet name="Sheet1" sheetId="9" state="hidden" r:id="rId9"/>
  </sheets>
  <definedNames>
    <definedName name="_xlnm.Print_Titles" localSheetId="1">'1. CTCY'!$5:$7</definedName>
    <definedName name="_xlnm.Print_Titles" localSheetId="2">'2. NN-LN-TS'!$5:$7</definedName>
    <definedName name="_xlnm.Print_Titles" localSheetId="4">'4. DV'!$5:$7</definedName>
    <definedName name="_xlnm.Print_Titles" localSheetId="5">'5. GDĐT-KHCN'!$5:$7</definedName>
    <definedName name="_xlnm.Print_Titles" localSheetId="6">'6. DSYT'!$5:$7</definedName>
    <definedName name="_xlnm.Print_Titles" localSheetId="7">'7. HTX'!$5:$7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7" l="1"/>
  <c r="N11" i="7"/>
  <c r="M12" i="7"/>
  <c r="L12" i="7"/>
  <c r="M11" i="7"/>
  <c r="L11" i="7"/>
  <c r="K11" i="7"/>
  <c r="K9" i="7"/>
  <c r="P11" i="1" l="1"/>
  <c r="K74" i="6" l="1"/>
  <c r="K76" i="6"/>
  <c r="K77" i="6"/>
  <c r="K73" i="6"/>
  <c r="K67" i="6"/>
  <c r="K64" i="6"/>
  <c r="K65" i="6"/>
  <c r="K63" i="6"/>
  <c r="K56" i="6"/>
  <c r="K57" i="6"/>
  <c r="K58" i="6"/>
  <c r="K55" i="6"/>
  <c r="K48" i="6"/>
  <c r="K49" i="6"/>
  <c r="K47" i="6"/>
  <c r="K46" i="6"/>
  <c r="K44" i="6"/>
  <c r="K43" i="6"/>
  <c r="K41" i="6"/>
  <c r="K38" i="6"/>
  <c r="K39" i="6"/>
  <c r="K40" i="6"/>
  <c r="K37" i="6"/>
  <c r="K35" i="6"/>
  <c r="K34" i="6"/>
  <c r="K33" i="6"/>
  <c r="K32" i="6"/>
  <c r="K30" i="6"/>
  <c r="K29" i="6"/>
  <c r="K27" i="6"/>
  <c r="K22" i="6"/>
  <c r="K23" i="6"/>
  <c r="K24" i="6"/>
  <c r="K25" i="6"/>
  <c r="K26" i="6"/>
  <c r="K21" i="6"/>
  <c r="K19" i="6"/>
  <c r="K17" i="6"/>
  <c r="K16" i="6"/>
  <c r="K12" i="6"/>
  <c r="K14" i="6"/>
  <c r="K13" i="6"/>
  <c r="P8" i="6"/>
  <c r="K11" i="6"/>
  <c r="K10" i="6"/>
  <c r="K8" i="6"/>
  <c r="O12" i="6"/>
  <c r="H6" i="9"/>
  <c r="I6" i="9"/>
  <c r="E6" i="9"/>
  <c r="F6" i="9"/>
  <c r="B6" i="9"/>
  <c r="C6" i="9"/>
  <c r="D6" i="9"/>
  <c r="J4" i="9" l="1"/>
  <c r="G6" i="9" l="1"/>
  <c r="J6" i="9"/>
  <c r="K11" i="1"/>
  <c r="N8" i="2" l="1"/>
  <c r="M8" i="2"/>
  <c r="L8" i="2"/>
  <c r="K8" i="2"/>
  <c r="J8" i="2"/>
  <c r="H8" i="2"/>
  <c r="G8" i="2"/>
  <c r="O16" i="1"/>
  <c r="P16" i="1"/>
  <c r="Q16" i="1"/>
  <c r="Q15" i="1"/>
  <c r="P15" i="1"/>
  <c r="O15" i="1"/>
  <c r="N11" i="1"/>
  <c r="N54" i="2"/>
  <c r="N83" i="2"/>
  <c r="N82" i="2"/>
  <c r="N73" i="2"/>
  <c r="N74" i="2"/>
  <c r="N75" i="2"/>
  <c r="N78" i="2"/>
  <c r="Q78" i="2" s="1"/>
  <c r="N79" i="2"/>
  <c r="N80" i="2"/>
  <c r="Q80" i="2" s="1"/>
  <c r="N71" i="2"/>
  <c r="N69" i="2"/>
  <c r="M69" i="2"/>
  <c r="L69" i="2"/>
  <c r="K69" i="2"/>
  <c r="N68" i="2"/>
  <c r="N66" i="2"/>
  <c r="M66" i="2"/>
  <c r="L66" i="2"/>
  <c r="N65" i="2"/>
  <c r="M65" i="2"/>
  <c r="L65" i="2"/>
  <c r="K65" i="2"/>
  <c r="N64" i="2"/>
  <c r="N61" i="2"/>
  <c r="Q61" i="2" s="1"/>
  <c r="N62" i="2"/>
  <c r="N63" i="2"/>
  <c r="Q63" i="2" s="1"/>
  <c r="N60" i="2"/>
  <c r="M63" i="2"/>
  <c r="M62" i="2"/>
  <c r="M61" i="2"/>
  <c r="L63" i="2"/>
  <c r="L62" i="2"/>
  <c r="L61" i="2"/>
  <c r="L60" i="2"/>
  <c r="K60" i="2"/>
  <c r="K63" i="2"/>
  <c r="O63" i="2" s="1"/>
  <c r="K62" i="2"/>
  <c r="K61" i="2"/>
  <c r="O61" i="2" s="1"/>
  <c r="N58" i="2"/>
  <c r="N56" i="2"/>
  <c r="M56" i="2"/>
  <c r="L56" i="2"/>
  <c r="Q52" i="2"/>
  <c r="N52" i="2"/>
  <c r="M52" i="2"/>
  <c r="L52" i="2"/>
  <c r="N49" i="2"/>
  <c r="N48" i="2"/>
  <c r="N46" i="2"/>
  <c r="N45" i="2"/>
  <c r="N43" i="2"/>
  <c r="N40" i="2"/>
  <c r="N41" i="2"/>
  <c r="N42" i="2"/>
  <c r="N39" i="2"/>
  <c r="M43" i="2"/>
  <c r="L43" i="2"/>
  <c r="N34" i="2"/>
  <c r="N35" i="2"/>
  <c r="N36" i="2"/>
  <c r="M36" i="2"/>
  <c r="L36" i="2"/>
  <c r="K36" i="2"/>
  <c r="M35" i="2"/>
  <c r="L35" i="2"/>
  <c r="K35" i="2"/>
  <c r="M34" i="2"/>
  <c r="L34" i="2"/>
  <c r="K34" i="2"/>
  <c r="N32" i="2"/>
  <c r="M32" i="2"/>
  <c r="L32" i="2"/>
  <c r="K32" i="2"/>
  <c r="N30" i="2"/>
  <c r="M30" i="2"/>
  <c r="L30" i="2"/>
  <c r="K30" i="2"/>
  <c r="N27" i="2"/>
  <c r="M27" i="2"/>
  <c r="L27" i="2"/>
  <c r="N26" i="2"/>
  <c r="N25" i="2"/>
  <c r="M25" i="2"/>
  <c r="L25" i="2"/>
  <c r="K25" i="2"/>
  <c r="N23" i="2"/>
  <c r="K23" i="2"/>
  <c r="L23" i="2"/>
  <c r="M23" i="2"/>
  <c r="N22" i="2"/>
  <c r="N21" i="2"/>
  <c r="M21" i="2"/>
  <c r="L21" i="2"/>
  <c r="K21" i="2"/>
  <c r="N17" i="2"/>
  <c r="N16" i="2"/>
  <c r="Q16" i="2" s="1"/>
  <c r="M17" i="2"/>
  <c r="M16" i="2"/>
  <c r="L17" i="2"/>
  <c r="L16" i="2"/>
  <c r="N15" i="2"/>
  <c r="O13" i="2"/>
  <c r="P13" i="2"/>
  <c r="Q13" i="2"/>
  <c r="O14" i="2"/>
  <c r="P14" i="2"/>
  <c r="Q14" i="2"/>
  <c r="O15" i="2"/>
  <c r="P15" i="2"/>
  <c r="Q15" i="2"/>
  <c r="O17" i="2"/>
  <c r="P17" i="2"/>
  <c r="Q17" i="2"/>
  <c r="O21" i="2"/>
  <c r="P21" i="2"/>
  <c r="Q21" i="2"/>
  <c r="O22" i="2"/>
  <c r="P22" i="2"/>
  <c r="Q22" i="2"/>
  <c r="O23" i="2"/>
  <c r="P23" i="2"/>
  <c r="Q23" i="2"/>
  <c r="O25" i="2"/>
  <c r="P25" i="2"/>
  <c r="Q25" i="2"/>
  <c r="O26" i="2"/>
  <c r="P26" i="2"/>
  <c r="Q26" i="2"/>
  <c r="O27" i="2"/>
  <c r="P27" i="2"/>
  <c r="Q27" i="2"/>
  <c r="O30" i="2"/>
  <c r="P30" i="2"/>
  <c r="Q30" i="2"/>
  <c r="O31" i="2"/>
  <c r="P31" i="2"/>
  <c r="Q31" i="2"/>
  <c r="O32" i="2"/>
  <c r="P32" i="2"/>
  <c r="Q32" i="2"/>
  <c r="O34" i="2"/>
  <c r="P34" i="2"/>
  <c r="Q34" i="2"/>
  <c r="O35" i="2"/>
  <c r="O36" i="2"/>
  <c r="P36" i="2"/>
  <c r="Q36" i="2"/>
  <c r="O39" i="2"/>
  <c r="P39" i="2"/>
  <c r="Q39" i="2"/>
  <c r="O40" i="2"/>
  <c r="P40" i="2"/>
  <c r="Q40" i="2"/>
  <c r="O41" i="2"/>
  <c r="P41" i="2"/>
  <c r="Q41" i="2"/>
  <c r="O42" i="2"/>
  <c r="P42" i="2"/>
  <c r="Q42" i="2"/>
  <c r="O43" i="2"/>
  <c r="P43" i="2"/>
  <c r="Q43" i="2"/>
  <c r="O45" i="2"/>
  <c r="P45" i="2"/>
  <c r="Q45" i="2"/>
  <c r="O46" i="2"/>
  <c r="P46" i="2"/>
  <c r="Q46" i="2"/>
  <c r="O49" i="2"/>
  <c r="P49" i="2"/>
  <c r="Q49" i="2"/>
  <c r="P52" i="2"/>
  <c r="O54" i="2"/>
  <c r="P54" i="2"/>
  <c r="Q54" i="2"/>
  <c r="P55" i="2"/>
  <c r="Q55" i="2"/>
  <c r="O56" i="2"/>
  <c r="P56" i="2"/>
  <c r="Q56" i="2"/>
  <c r="O58" i="2"/>
  <c r="P58" i="2"/>
  <c r="Q58" i="2"/>
  <c r="O60" i="2"/>
  <c r="P60" i="2"/>
  <c r="Q60" i="2"/>
  <c r="P61" i="2"/>
  <c r="O62" i="2"/>
  <c r="P62" i="2"/>
  <c r="Q62" i="2"/>
  <c r="P63" i="2"/>
  <c r="P64" i="2"/>
  <c r="Q64" i="2"/>
  <c r="O65" i="2"/>
  <c r="P65" i="2"/>
  <c r="Q65" i="2"/>
  <c r="O66" i="2"/>
  <c r="P66" i="2"/>
  <c r="Q66" i="2"/>
  <c r="O68" i="2"/>
  <c r="P68" i="2"/>
  <c r="Q68" i="2"/>
  <c r="O69" i="2"/>
  <c r="P69" i="2"/>
  <c r="Q69" i="2"/>
  <c r="O71" i="2"/>
  <c r="P71" i="2"/>
  <c r="Q71" i="2"/>
  <c r="Q73" i="2"/>
  <c r="Q74" i="2"/>
  <c r="Q75" i="2"/>
  <c r="Q79" i="2"/>
  <c r="O82" i="2"/>
  <c r="P82" i="2"/>
  <c r="Q82" i="2"/>
  <c r="O83" i="2"/>
  <c r="P83" i="2"/>
  <c r="Q83" i="2"/>
  <c r="O10" i="2"/>
  <c r="P10" i="2"/>
  <c r="O12" i="2"/>
  <c r="P12" i="2"/>
  <c r="Q12" i="2"/>
  <c r="Q9" i="2"/>
  <c r="P9" i="2"/>
  <c r="O9" i="2"/>
  <c r="N13" i="2"/>
  <c r="M13" i="2"/>
  <c r="N14" i="2"/>
  <c r="M14" i="2"/>
  <c r="L14" i="2"/>
  <c r="K12" i="2"/>
  <c r="L13" i="2"/>
  <c r="N12" i="2"/>
  <c r="M15" i="2"/>
  <c r="L15" i="2"/>
  <c r="N33" i="1"/>
  <c r="N29" i="1"/>
  <c r="N30" i="1"/>
  <c r="N31" i="1"/>
  <c r="N32" i="1"/>
  <c r="N27" i="1"/>
  <c r="N26" i="1"/>
  <c r="N25" i="1"/>
  <c r="M25" i="1"/>
  <c r="N42" i="6"/>
  <c r="N41" i="6"/>
  <c r="M42" i="6"/>
  <c r="M41" i="6"/>
  <c r="L42" i="6"/>
  <c r="L41" i="6"/>
  <c r="K42" i="6"/>
  <c r="M36" i="6"/>
  <c r="L36" i="6"/>
  <c r="L35" i="6"/>
  <c r="M35" i="6"/>
  <c r="N36" i="6"/>
  <c r="N35" i="6"/>
  <c r="K36" i="6"/>
  <c r="O36" i="6"/>
  <c r="L25" i="1"/>
  <c r="K25" i="1"/>
  <c r="N13" i="7" l="1"/>
  <c r="N14" i="7"/>
  <c r="N15" i="7"/>
  <c r="O11" i="7"/>
  <c r="P11" i="7"/>
  <c r="O12" i="7"/>
  <c r="P12" i="7"/>
  <c r="O13" i="7"/>
  <c r="P13" i="7"/>
  <c r="Q13" i="7"/>
  <c r="P14" i="7"/>
  <c r="Q14" i="7"/>
  <c r="P15" i="7"/>
  <c r="Q15" i="7"/>
  <c r="Q9" i="7"/>
  <c r="P9" i="7"/>
  <c r="O9" i="7"/>
  <c r="N9" i="7"/>
  <c r="P77" i="6"/>
  <c r="Q77" i="6"/>
  <c r="O77" i="6"/>
  <c r="N77" i="6"/>
  <c r="N76" i="6"/>
  <c r="N74" i="6"/>
  <c r="N73" i="6"/>
  <c r="N63" i="6"/>
  <c r="Q63" i="6" s="1"/>
  <c r="N64" i="6"/>
  <c r="N65" i="6"/>
  <c r="Q65" i="6" s="1"/>
  <c r="N67" i="6"/>
  <c r="N68" i="6"/>
  <c r="N69" i="6"/>
  <c r="N56" i="6"/>
  <c r="N57" i="6"/>
  <c r="Q57" i="6" s="1"/>
  <c r="N58" i="6"/>
  <c r="N60" i="6"/>
  <c r="N61" i="6"/>
  <c r="N55" i="6"/>
  <c r="O55" i="6"/>
  <c r="N47" i="6"/>
  <c r="N48" i="6"/>
  <c r="Q48" i="6" s="1"/>
  <c r="N49" i="6"/>
  <c r="N46" i="6"/>
  <c r="N43" i="6"/>
  <c r="N44" i="6"/>
  <c r="N39" i="6"/>
  <c r="N40" i="6"/>
  <c r="N33" i="6"/>
  <c r="N34" i="6"/>
  <c r="N37" i="6"/>
  <c r="N38" i="6"/>
  <c r="N32" i="6"/>
  <c r="N30" i="6"/>
  <c r="N29" i="6"/>
  <c r="Q16" i="6"/>
  <c r="P16" i="6"/>
  <c r="O16" i="6"/>
  <c r="Q8" i="6"/>
  <c r="O8" i="6"/>
  <c r="N27" i="6"/>
  <c r="N26" i="6"/>
  <c r="N22" i="6"/>
  <c r="N23" i="6"/>
  <c r="Q23" i="6" s="1"/>
  <c r="N24" i="6"/>
  <c r="N25" i="6"/>
  <c r="Q25" i="6" s="1"/>
  <c r="N21" i="6"/>
  <c r="N19" i="6"/>
  <c r="N17" i="6"/>
  <c r="N16" i="6"/>
  <c r="O14" i="6"/>
  <c r="P14" i="6"/>
  <c r="Q14" i="6"/>
  <c r="Q13" i="6"/>
  <c r="P13" i="6"/>
  <c r="O13" i="6"/>
  <c r="O10" i="6"/>
  <c r="P10" i="6"/>
  <c r="Q10" i="6"/>
  <c r="O11" i="6"/>
  <c r="P11" i="6"/>
  <c r="Q11" i="6"/>
  <c r="P12" i="6"/>
  <c r="Q12" i="6"/>
  <c r="O17" i="6"/>
  <c r="P17" i="6"/>
  <c r="Q17" i="6"/>
  <c r="O19" i="6"/>
  <c r="P19" i="6"/>
  <c r="Q19" i="6"/>
  <c r="O21" i="6"/>
  <c r="P21" i="6"/>
  <c r="Q21" i="6"/>
  <c r="O22" i="6"/>
  <c r="P22" i="6"/>
  <c r="Q22" i="6"/>
  <c r="O23" i="6"/>
  <c r="P23" i="6"/>
  <c r="O24" i="6"/>
  <c r="P24" i="6"/>
  <c r="Q24" i="6"/>
  <c r="O25" i="6"/>
  <c r="P25" i="6"/>
  <c r="O26" i="6"/>
  <c r="P26" i="6"/>
  <c r="Q26" i="6"/>
  <c r="O27" i="6"/>
  <c r="P27" i="6"/>
  <c r="Q27" i="6"/>
  <c r="O29" i="6"/>
  <c r="P29" i="6"/>
  <c r="Q29" i="6"/>
  <c r="O30" i="6"/>
  <c r="P30" i="6"/>
  <c r="Q30" i="6"/>
  <c r="O32" i="6"/>
  <c r="P32" i="6"/>
  <c r="Q32" i="6"/>
  <c r="O33" i="6"/>
  <c r="P33" i="6"/>
  <c r="Q33" i="6"/>
  <c r="O34" i="6"/>
  <c r="P34" i="6"/>
  <c r="Q34" i="6"/>
  <c r="Q35" i="6"/>
  <c r="O37" i="6"/>
  <c r="P37" i="6"/>
  <c r="Q37" i="6"/>
  <c r="O38" i="6"/>
  <c r="P38" i="6"/>
  <c r="Q38" i="6"/>
  <c r="O39" i="6"/>
  <c r="P39" i="6"/>
  <c r="Q39" i="6"/>
  <c r="O40" i="6"/>
  <c r="P40" i="6"/>
  <c r="Q40" i="6"/>
  <c r="O43" i="6"/>
  <c r="P43" i="6"/>
  <c r="Q43" i="6"/>
  <c r="O44" i="6"/>
  <c r="P44" i="6"/>
  <c r="Q44" i="6"/>
  <c r="O46" i="6"/>
  <c r="P46" i="6"/>
  <c r="Q46" i="6"/>
  <c r="O47" i="6"/>
  <c r="P47" i="6"/>
  <c r="Q47" i="6"/>
  <c r="O48" i="6"/>
  <c r="P48" i="6"/>
  <c r="O49" i="6"/>
  <c r="P49" i="6"/>
  <c r="Q49" i="6"/>
  <c r="P55" i="6"/>
  <c r="Q55" i="6"/>
  <c r="O56" i="6"/>
  <c r="P56" i="6"/>
  <c r="Q56" i="6"/>
  <c r="O57" i="6"/>
  <c r="P57" i="6"/>
  <c r="O58" i="6"/>
  <c r="P58" i="6"/>
  <c r="Q58" i="6"/>
  <c r="O60" i="6"/>
  <c r="P60" i="6"/>
  <c r="Q60" i="6"/>
  <c r="O61" i="6"/>
  <c r="P61" i="6"/>
  <c r="Q61" i="6"/>
  <c r="O63" i="6"/>
  <c r="P63" i="6"/>
  <c r="O64" i="6"/>
  <c r="P64" i="6"/>
  <c r="Q64" i="6"/>
  <c r="O65" i="6"/>
  <c r="P65" i="6"/>
  <c r="O67" i="6"/>
  <c r="P67" i="6"/>
  <c r="Q67" i="6"/>
  <c r="O68" i="6"/>
  <c r="P68" i="6"/>
  <c r="Q68" i="6"/>
  <c r="O70" i="6"/>
  <c r="P70" i="6"/>
  <c r="Q70" i="6"/>
  <c r="O73" i="6"/>
  <c r="P73" i="6"/>
  <c r="Q73" i="6"/>
  <c r="O74" i="6"/>
  <c r="P74" i="6"/>
  <c r="Q74" i="6"/>
  <c r="O76" i="6"/>
  <c r="P76" i="6"/>
  <c r="Q76" i="6"/>
  <c r="N14" i="6"/>
  <c r="N13" i="6"/>
  <c r="N12" i="6"/>
  <c r="N11" i="6"/>
  <c r="N10" i="6"/>
  <c r="N8" i="6"/>
  <c r="N34" i="5"/>
  <c r="N26" i="5"/>
  <c r="N27" i="5"/>
  <c r="N28" i="5"/>
  <c r="N29" i="5"/>
  <c r="N30" i="5"/>
  <c r="N31" i="5"/>
  <c r="N25" i="5"/>
  <c r="N21" i="5"/>
  <c r="N22" i="5"/>
  <c r="N23" i="5"/>
  <c r="N20" i="5"/>
  <c r="N10" i="5"/>
  <c r="N11" i="5"/>
  <c r="N13" i="5"/>
  <c r="Q13" i="5" s="1"/>
  <c r="N15" i="5"/>
  <c r="N9" i="5"/>
  <c r="K10" i="5"/>
  <c r="K11" i="5"/>
  <c r="K13" i="5"/>
  <c r="K15" i="5"/>
  <c r="K9" i="5"/>
  <c r="O10" i="5"/>
  <c r="P10" i="5"/>
  <c r="Q10" i="5"/>
  <c r="O11" i="5"/>
  <c r="P11" i="5"/>
  <c r="Q11" i="5"/>
  <c r="O13" i="5"/>
  <c r="P13" i="5"/>
  <c r="O15" i="5"/>
  <c r="P15" i="5"/>
  <c r="Q15" i="5"/>
  <c r="O18" i="5"/>
  <c r="P18" i="5"/>
  <c r="Q18" i="5"/>
  <c r="O20" i="5"/>
  <c r="P20" i="5"/>
  <c r="Q20" i="5"/>
  <c r="O21" i="5"/>
  <c r="P21" i="5"/>
  <c r="Q21" i="5"/>
  <c r="O22" i="5"/>
  <c r="O23" i="5"/>
  <c r="P23" i="5"/>
  <c r="Q23" i="5"/>
  <c r="O25" i="5"/>
  <c r="P25" i="5"/>
  <c r="Q25" i="5"/>
  <c r="O26" i="5"/>
  <c r="P26" i="5"/>
  <c r="Q26" i="5"/>
  <c r="O27" i="5"/>
  <c r="P27" i="5"/>
  <c r="Q27" i="5"/>
  <c r="O28" i="5"/>
  <c r="P28" i="5"/>
  <c r="Q28" i="5"/>
  <c r="O29" i="5"/>
  <c r="P29" i="5"/>
  <c r="Q29" i="5"/>
  <c r="O30" i="5"/>
  <c r="P30" i="5"/>
  <c r="Q30" i="5"/>
  <c r="O31" i="5"/>
  <c r="P31" i="5"/>
  <c r="Q31" i="5"/>
  <c r="P34" i="5"/>
  <c r="Q34" i="5"/>
  <c r="Q9" i="5"/>
  <c r="O9" i="5"/>
  <c r="N36" i="4"/>
  <c r="N37" i="4"/>
  <c r="N35" i="4"/>
  <c r="K35" i="4"/>
  <c r="K36" i="4"/>
  <c r="K37" i="4"/>
  <c r="P37" i="4" s="1"/>
  <c r="M37" i="4"/>
  <c r="L37" i="4"/>
  <c r="M36" i="4"/>
  <c r="L36" i="4"/>
  <c r="M35" i="4"/>
  <c r="L35" i="4"/>
  <c r="O36" i="4"/>
  <c r="N29" i="4"/>
  <c r="N27" i="4"/>
  <c r="M29" i="4"/>
  <c r="M27" i="4"/>
  <c r="L29" i="4"/>
  <c r="L27" i="4"/>
  <c r="K29" i="4"/>
  <c r="K27" i="4"/>
  <c r="Q37" i="4"/>
  <c r="O37" i="4"/>
  <c r="Q36" i="4"/>
  <c r="P36" i="4"/>
  <c r="Q35" i="4"/>
  <c r="P35" i="4"/>
  <c r="O35" i="4"/>
  <c r="Q24" i="4"/>
  <c r="P24" i="4"/>
  <c r="O24" i="4"/>
  <c r="Q29" i="4"/>
  <c r="P29" i="4"/>
  <c r="O29" i="4"/>
  <c r="Q27" i="4"/>
  <c r="P27" i="4"/>
  <c r="O27" i="4"/>
  <c r="Q25" i="4"/>
  <c r="P25" i="4"/>
  <c r="O25" i="4"/>
  <c r="P10" i="4"/>
  <c r="Q10" i="4"/>
  <c r="O9" i="4"/>
  <c r="N25" i="4"/>
  <c r="N24" i="4"/>
  <c r="K25" i="4"/>
  <c r="L25" i="4"/>
  <c r="M25" i="4"/>
  <c r="N9" i="4"/>
  <c r="N13" i="3"/>
  <c r="N15" i="3"/>
  <c r="N14" i="3"/>
  <c r="N12" i="3"/>
  <c r="N11" i="3"/>
  <c r="N10" i="3"/>
  <c r="N9" i="3"/>
  <c r="Q12" i="3"/>
  <c r="Q10" i="3"/>
  <c r="M9" i="4"/>
  <c r="L9" i="4"/>
  <c r="K9" i="4"/>
  <c r="N18" i="3"/>
  <c r="N19" i="3"/>
  <c r="N20" i="3"/>
  <c r="N17" i="3"/>
  <c r="Q17" i="3" s="1"/>
  <c r="L10" i="3"/>
  <c r="M10" i="3"/>
  <c r="K10" i="3"/>
  <c r="M15" i="3"/>
  <c r="L15" i="3"/>
  <c r="M14" i="3"/>
  <c r="L14" i="3"/>
  <c r="M13" i="3"/>
  <c r="L13" i="3"/>
  <c r="K15" i="3"/>
  <c r="K14" i="3"/>
  <c r="K13" i="3"/>
  <c r="O10" i="3"/>
  <c r="P10" i="3"/>
  <c r="O11" i="3"/>
  <c r="P11" i="3"/>
  <c r="Q11" i="3"/>
  <c r="O12" i="3"/>
  <c r="P12" i="3"/>
  <c r="O13" i="3"/>
  <c r="P13" i="3"/>
  <c r="O14" i="3"/>
  <c r="P14" i="3"/>
  <c r="O15" i="3"/>
  <c r="P15" i="3"/>
  <c r="O17" i="3"/>
  <c r="P17" i="3"/>
  <c r="O18" i="3"/>
  <c r="P18" i="3"/>
  <c r="Q18" i="3"/>
  <c r="O19" i="3"/>
  <c r="P19" i="3"/>
  <c r="Q19" i="3"/>
  <c r="O20" i="3"/>
  <c r="P20" i="3"/>
  <c r="Q20" i="3"/>
  <c r="Q9" i="3"/>
  <c r="P9" i="3"/>
  <c r="O9" i="3"/>
  <c r="M12" i="3"/>
  <c r="M11" i="3"/>
  <c r="L12" i="3"/>
  <c r="L11" i="3"/>
  <c r="K12" i="3"/>
  <c r="K11" i="3"/>
  <c r="K9" i="3"/>
  <c r="M9" i="3"/>
  <c r="L9" i="3"/>
  <c r="Q9" i="1"/>
  <c r="P9" i="1"/>
  <c r="O10" i="1"/>
  <c r="P10" i="1"/>
  <c r="Q10" i="1"/>
  <c r="O11" i="1"/>
  <c r="Q11" i="1"/>
  <c r="P14" i="1"/>
  <c r="Q14" i="1"/>
  <c r="O17" i="1"/>
  <c r="P17" i="1"/>
  <c r="Q17" i="1"/>
  <c r="O19" i="1"/>
  <c r="P19" i="1"/>
  <c r="Q19" i="1"/>
  <c r="O20" i="1"/>
  <c r="P20" i="1"/>
  <c r="Q20" i="1"/>
  <c r="O21" i="1"/>
  <c r="P21" i="1"/>
  <c r="Q21" i="1"/>
  <c r="O22" i="1"/>
  <c r="P22" i="1"/>
  <c r="Q22" i="1"/>
  <c r="O23" i="1"/>
  <c r="P23" i="1"/>
  <c r="Q23" i="1"/>
  <c r="Q25" i="1"/>
  <c r="Q26" i="1"/>
  <c r="O27" i="1"/>
  <c r="P27" i="1"/>
  <c r="Q27" i="1"/>
  <c r="O29" i="1"/>
  <c r="P29" i="1"/>
  <c r="Q29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O37" i="1"/>
  <c r="P37" i="1"/>
  <c r="Q37" i="1"/>
  <c r="O38" i="1"/>
  <c r="P38" i="1"/>
  <c r="Q38" i="1"/>
  <c r="O39" i="1"/>
  <c r="P39" i="1"/>
  <c r="Q39" i="1"/>
  <c r="O41" i="1"/>
  <c r="P41" i="1"/>
  <c r="Q41" i="1"/>
  <c r="O42" i="1"/>
  <c r="P42" i="1"/>
  <c r="Q42" i="1"/>
  <c r="L11" i="1" l="1"/>
  <c r="M11" i="1"/>
  <c r="O9" i="1"/>
  <c r="N10" i="2"/>
  <c r="Q10" i="2" s="1"/>
  <c r="K78" i="2" l="1"/>
  <c r="K79" i="2"/>
  <c r="K80" i="2"/>
  <c r="K81" i="2"/>
  <c r="K82" i="2"/>
  <c r="K83" i="2"/>
  <c r="K73" i="2"/>
  <c r="K74" i="2"/>
  <c r="K75" i="2"/>
  <c r="K71" i="2"/>
  <c r="K66" i="2"/>
  <c r="P79" i="2" l="1"/>
  <c r="O79" i="2"/>
  <c r="O80" i="2"/>
  <c r="P80" i="2"/>
  <c r="P78" i="2"/>
  <c r="O78" i="2"/>
  <c r="O75" i="2"/>
  <c r="P75" i="2"/>
  <c r="O73" i="2"/>
  <c r="P73" i="2"/>
  <c r="P74" i="2"/>
  <c r="O74" i="2"/>
  <c r="K56" i="2"/>
  <c r="K52" i="2"/>
  <c r="K48" i="2"/>
  <c r="K49" i="2"/>
  <c r="K46" i="2"/>
  <c r="K45" i="2"/>
  <c r="K43" i="2"/>
  <c r="K27" i="2"/>
  <c r="K16" i="2"/>
  <c r="K17" i="2"/>
  <c r="K15" i="2"/>
  <c r="K14" i="2"/>
  <c r="K9" i="2"/>
  <c r="K13" i="2"/>
  <c r="M9" i="2"/>
  <c r="L9" i="2"/>
  <c r="N9" i="2" s="1"/>
  <c r="L10" i="4"/>
  <c r="J10" i="4"/>
  <c r="H10" i="4"/>
  <c r="G10" i="4"/>
  <c r="M10" i="4"/>
  <c r="Q9" i="4"/>
  <c r="O16" i="2" l="1"/>
  <c r="P16" i="2"/>
  <c r="N10" i="4"/>
  <c r="J26" i="1" l="1"/>
  <c r="I26" i="1"/>
  <c r="P35" i="6" l="1"/>
  <c r="O35" i="6"/>
  <c r="K10" i="4" l="1"/>
  <c r="K40" i="2" l="1"/>
  <c r="L40" i="2" s="1"/>
  <c r="M40" i="2" s="1"/>
  <c r="K12" i="7" l="1"/>
  <c r="Q12" i="7" l="1"/>
  <c r="K14" i="7"/>
  <c r="Q11" i="7"/>
  <c r="K61" i="6"/>
  <c r="K60" i="6"/>
  <c r="M18" i="5"/>
  <c r="K30" i="5"/>
  <c r="K27" i="5"/>
  <c r="K25" i="5"/>
  <c r="K24" i="4"/>
  <c r="P9" i="4"/>
  <c r="P42" i="6" l="1"/>
  <c r="O42" i="6"/>
  <c r="O41" i="6"/>
  <c r="P41" i="6"/>
  <c r="Q36" i="6"/>
  <c r="P36" i="6"/>
  <c r="K26" i="1"/>
  <c r="Q41" i="6"/>
  <c r="O26" i="1" l="1"/>
  <c r="P26" i="1"/>
  <c r="Q42" i="6"/>
  <c r="L26" i="1"/>
  <c r="K68" i="2"/>
  <c r="K58" i="2"/>
  <c r="K54" i="2"/>
  <c r="K41" i="2"/>
  <c r="K39" i="2"/>
  <c r="M26" i="1" l="1"/>
  <c r="M60" i="2"/>
  <c r="Q15" i="3" l="1"/>
  <c r="Q14" i="3"/>
  <c r="Q13" i="3"/>
  <c r="J15" i="7" l="1"/>
  <c r="K15" i="7" s="1"/>
  <c r="H15" i="7" l="1"/>
  <c r="J13" i="7"/>
  <c r="L13" i="7"/>
  <c r="M13" i="7"/>
  <c r="I13" i="7"/>
  <c r="K13" i="7" l="1"/>
  <c r="M29" i="5"/>
  <c r="L29" i="5"/>
  <c r="J32" i="1" l="1"/>
  <c r="K32" i="1" s="1"/>
  <c r="L32" i="1"/>
  <c r="M32" i="1"/>
  <c r="I32" i="1"/>
  <c r="L9" i="5" l="1"/>
  <c r="J48" i="6" l="1"/>
  <c r="J9" i="5" l="1"/>
  <c r="P9" i="5" l="1"/>
  <c r="J29" i="5"/>
  <c r="M31" i="5"/>
  <c r="L31" i="5"/>
  <c r="J31" i="5"/>
  <c r="I31" i="5"/>
  <c r="M28" i="5"/>
  <c r="L28" i="5"/>
  <c r="J28" i="5"/>
  <c r="I28" i="5"/>
  <c r="M26" i="5"/>
  <c r="L26" i="5"/>
  <c r="J26" i="5"/>
  <c r="I26" i="5"/>
  <c r="J18" i="5"/>
  <c r="L18" i="5"/>
  <c r="I18" i="5"/>
  <c r="M9" i="5"/>
  <c r="I9" i="5"/>
  <c r="K18" i="5" l="1"/>
  <c r="K26" i="5"/>
  <c r="K28" i="5"/>
  <c r="K31" i="5"/>
  <c r="K29" i="5"/>
  <c r="Q8" i="2"/>
  <c r="P8" i="2"/>
  <c r="M77" i="2" l="1"/>
  <c r="L77" i="2"/>
  <c r="J77" i="2"/>
  <c r="I77" i="2"/>
  <c r="H77" i="2"/>
  <c r="H72" i="2" s="1"/>
  <c r="G77" i="2"/>
  <c r="G72" i="2" s="1"/>
  <c r="F77" i="2"/>
  <c r="F72" i="2" s="1"/>
  <c r="E77" i="2"/>
  <c r="E72" i="2" s="1"/>
  <c r="D77" i="2"/>
  <c r="D72" i="2" s="1"/>
  <c r="L72" i="2"/>
  <c r="M72" i="2" l="1"/>
  <c r="N72" i="2" s="1"/>
  <c r="Q72" i="2" s="1"/>
  <c r="N77" i="2"/>
  <c r="Q77" i="2" s="1"/>
  <c r="I72" i="2"/>
  <c r="K72" i="2" s="1"/>
  <c r="K77" i="2"/>
  <c r="J72" i="2"/>
  <c r="M77" i="6"/>
  <c r="M76" i="6"/>
  <c r="L76" i="6"/>
  <c r="J49" i="6"/>
  <c r="M47" i="6"/>
  <c r="L47" i="6"/>
  <c r="L48" i="6" s="1"/>
  <c r="I47" i="6"/>
  <c r="I48" i="6" s="1"/>
  <c r="I49" i="6" s="1"/>
  <c r="O77" i="2" l="1"/>
  <c r="P77" i="2"/>
  <c r="P72" i="2"/>
  <c r="O72" i="2"/>
  <c r="M48" i="6"/>
  <c r="M49" i="6"/>
  <c r="L49" i="6"/>
  <c r="J16" i="1"/>
  <c r="L16" i="1"/>
  <c r="M16" i="1"/>
  <c r="N16" i="1" s="1"/>
  <c r="I16" i="1"/>
  <c r="L33" i="1" l="1"/>
  <c r="M33" i="1"/>
  <c r="J29" i="1"/>
  <c r="K29" i="1" s="1"/>
  <c r="L29" i="1"/>
  <c r="M29" i="1"/>
  <c r="J30" i="1"/>
  <c r="K30" i="1" s="1"/>
  <c r="L30" i="1"/>
  <c r="M30" i="1"/>
  <c r="J31" i="1"/>
  <c r="K31" i="1" s="1"/>
  <c r="L31" i="1"/>
  <c r="M31" i="1"/>
  <c r="I31" i="1"/>
  <c r="I30" i="1"/>
  <c r="I29" i="1"/>
  <c r="M27" i="1"/>
  <c r="J27" i="1"/>
  <c r="K27" i="1" s="1"/>
  <c r="L27" i="1"/>
  <c r="I27" i="1"/>
  <c r="J25" i="1"/>
  <c r="I25" i="1"/>
  <c r="J23" i="1"/>
  <c r="L23" i="1"/>
  <c r="M23" i="1"/>
  <c r="N23" i="1" s="1"/>
  <c r="I23" i="1"/>
  <c r="J20" i="1"/>
  <c r="L20" i="1"/>
  <c r="M20" i="1"/>
  <c r="N20" i="1" s="1"/>
  <c r="J21" i="1"/>
  <c r="L21" i="1"/>
  <c r="M21" i="1"/>
  <c r="N21" i="1" s="1"/>
  <c r="J22" i="1"/>
  <c r="L22" i="1"/>
  <c r="M22" i="1"/>
  <c r="N22" i="1" s="1"/>
  <c r="I22" i="1"/>
  <c r="I21" i="1"/>
  <c r="I20" i="1"/>
  <c r="J19" i="1"/>
  <c r="L19" i="1"/>
  <c r="M19" i="1"/>
  <c r="N19" i="1" s="1"/>
  <c r="I19" i="1"/>
  <c r="J17" i="1"/>
  <c r="L17" i="1"/>
  <c r="M17" i="1"/>
  <c r="I17" i="1"/>
  <c r="J15" i="1"/>
  <c r="L15" i="1"/>
  <c r="M15" i="1"/>
  <c r="N15" i="1" s="1"/>
  <c r="J10" i="1"/>
  <c r="L10" i="1"/>
  <c r="M10" i="1"/>
  <c r="O25" i="1" l="1"/>
  <c r="P25" i="1"/>
  <c r="G21" i="2" l="1"/>
  <c r="D21" i="2" l="1"/>
  <c r="D16" i="2"/>
  <c r="A3" i="7" l="1"/>
  <c r="A3" i="6"/>
  <c r="A3" i="5"/>
  <c r="A3" i="4" l="1"/>
  <c r="A3" i="3" l="1"/>
  <c r="A3" i="2"/>
</calcChain>
</file>

<file path=xl/comments1.xml><?xml version="1.0" encoding="utf-8"?>
<comments xmlns="http://schemas.openxmlformats.org/spreadsheetml/2006/main">
  <authors>
    <author>Author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P16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Q16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O13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P13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<sst xmlns="http://schemas.openxmlformats.org/spreadsheetml/2006/main" count="922" uniqueCount="373">
  <si>
    <t>Biểu số 01</t>
  </si>
  <si>
    <t>A</t>
  </si>
  <si>
    <t>CHỈ TIÊU VỀ KINH TẾ</t>
  </si>
  <si>
    <t>Tổng sản lượng lương thực có hạt</t>
  </si>
  <si>
    <t>Thu nhập bình quân đầu người/năm</t>
  </si>
  <si>
    <t>Tổng thu ngân sách nhà nước trên địa bàn</t>
  </si>
  <si>
    <t>Giá trị sản xuất bình quân trên 1 ha đất trồng trọt và nuôi trồng thủy sản</t>
  </si>
  <si>
    <t>Giải quyết việc làm cho lao động</t>
  </si>
  <si>
    <t>Số lao động được đào tạo nghề</t>
  </si>
  <si>
    <t xml:space="preserve">Tỷ lệ lao động qua đào tạo, tập huấn so với tổng số LĐ có khả năng LĐ (lũy kế) </t>
  </si>
  <si>
    <t>Tỷ lệ hộ gia đình đạt tiêu chuẩn văn hóa</t>
  </si>
  <si>
    <t>Tỷ lệ bản, tổ dân phố đạt tiêu chuẩn văn hóa</t>
  </si>
  <si>
    <t>Tỷ lệ cơ quan, đơn vị, trường học đạt tiêu chuẩn văn hóa</t>
  </si>
  <si>
    <t>Tỷ lệ các tuyến phố đạt tuyến phố văn minh</t>
  </si>
  <si>
    <t>Tỷ lệ chất thải đô thị được thu gom</t>
  </si>
  <si>
    <t>Tỷ lệ chất thải rắn y tế được xử lý đạt tiêu chuẩn môi trường</t>
  </si>
  <si>
    <t>b</t>
  </si>
  <si>
    <t>B</t>
  </si>
  <si>
    <t>CHỈ TIÊU XÃ HỘI</t>
  </si>
  <si>
    <t>Về Y tế - Dân số</t>
  </si>
  <si>
    <t>Về giáo dục</t>
  </si>
  <si>
    <t>+ Cấp mầm non</t>
  </si>
  <si>
    <t>+ Cấp Tiểu học</t>
  </si>
  <si>
    <t>+ Cấp THCS</t>
  </si>
  <si>
    <t>- Tỷ lệ các trường đạt chuẩn Quốc gia mức độ I, trong đó:</t>
  </si>
  <si>
    <t>- Tỷ lệ các trường đạt chuẩn quốc gia mức độ II</t>
  </si>
  <si>
    <t>- Tỷ lệ tăng dân số tự nhiên</t>
  </si>
  <si>
    <t>- Giảm tỷ lệ trẻ em suy dinh dưỡng</t>
  </si>
  <si>
    <t>- Tỷ lệ người dân tham gia bảo hiểm y tế</t>
  </si>
  <si>
    <t>Về lao động, giải quyết việc làm</t>
  </si>
  <si>
    <t>Về Văn hóa</t>
  </si>
  <si>
    <t>C</t>
  </si>
  <si>
    <t>Cấp nước sinh hoạt</t>
  </si>
  <si>
    <t>%</t>
  </si>
  <si>
    <t>Tỷ lệ dân số được sử dụng nước hợp vệ sinh, trong đó:</t>
  </si>
  <si>
    <t>+ Tỷ lệ dân số đô thị được sử dụng nước sạch</t>
  </si>
  <si>
    <t>+ Tỷ lệ dân số nông thôn được sử dụng nước sạch</t>
  </si>
  <si>
    <t>Tỷ lệ chất thải được thu gom, xử lý đạt tiêu chuẩn môi trường</t>
  </si>
  <si>
    <t>Triệu đồng</t>
  </si>
  <si>
    <t>Tỷ đồng</t>
  </si>
  <si>
    <t>Xã đạt chuẩn văn hóa nông thôn mới</t>
  </si>
  <si>
    <t>Phường đạt chuẩn văn minh đô thị</t>
  </si>
  <si>
    <t>Phường</t>
  </si>
  <si>
    <t>Xã</t>
  </si>
  <si>
    <t>Người</t>
  </si>
  <si>
    <t>%o</t>
  </si>
  <si>
    <t>Biểu số 2</t>
  </si>
  <si>
    <t>I</t>
  </si>
  <si>
    <t>TỔNG GIÁ TRỊ SẢN XUẤT</t>
  </si>
  <si>
    <t>- Giá trị sản xuất bình quân trên 1 ha đất trồng trọt và nuôi trồng thủy sản</t>
  </si>
  <si>
    <t>II</t>
  </si>
  <si>
    <t>TRỒNG TRỌT</t>
  </si>
  <si>
    <t>- Tổng diện tích đất sản xuất nông nghiệp canh tác</t>
  </si>
  <si>
    <t>- Tổng diện tích gieo trồng</t>
  </si>
  <si>
    <t>- Tổng diện tích sản xuất tăng vụ</t>
  </si>
  <si>
    <t>- Thóc</t>
  </si>
  <si>
    <t>- Ngô</t>
  </si>
  <si>
    <t>Một số cây trồng chính</t>
  </si>
  <si>
    <t>a</t>
  </si>
  <si>
    <t>Cây lương thực có hạt</t>
  </si>
  <si>
    <t>- Lúa cả năm</t>
  </si>
  <si>
    <t>+ Diện tích</t>
  </si>
  <si>
    <t>+ Năng suất</t>
  </si>
  <si>
    <t>+ Sản lượng</t>
  </si>
  <si>
    <t>- Ngô cả năm</t>
  </si>
  <si>
    <t>Cây công nghiệp ngắn ngày</t>
  </si>
  <si>
    <t>- Cây Lạc</t>
  </si>
  <si>
    <t>- Đậu tương</t>
  </si>
  <si>
    <t>c</t>
  </si>
  <si>
    <t>Cây công nghiệp dài ngày</t>
  </si>
  <si>
    <t>- Cây Chè</t>
  </si>
  <si>
    <t>+ Tổng diện tích</t>
  </si>
  <si>
    <t>+ Diện tích trồng mới</t>
  </si>
  <si>
    <t>+ Diện tích Chè kinh doanh</t>
  </si>
  <si>
    <t>+ Sản lượng Chè búp tươi</t>
  </si>
  <si>
    <t>- Cây Mắc ca</t>
  </si>
  <si>
    <t>+ Diện tích trồng thuần</t>
  </si>
  <si>
    <t>+ Diện tích trồng xen chè</t>
  </si>
  <si>
    <t>+ Diện tích trồng thuần (trồng mới)</t>
  </si>
  <si>
    <t>+ Diện tích trồng xen chè (trồng mới)</t>
  </si>
  <si>
    <t>+ Năng suất trồng thuần</t>
  </si>
  <si>
    <t>+ Năng suất trồng sen</t>
  </si>
  <si>
    <t>+ Sản lượng (trồng thuần + trồng sen)</t>
  </si>
  <si>
    <t>d</t>
  </si>
  <si>
    <t>Cây ăn quả</t>
  </si>
  <si>
    <t>e</t>
  </si>
  <si>
    <t>Cây hoa</t>
  </si>
  <si>
    <t>Tổng diện tích</t>
  </si>
  <si>
    <t>III</t>
  </si>
  <si>
    <t>CHĂN NUÔI</t>
  </si>
  <si>
    <t>Tổng đàn gia súc (tính có mặt)</t>
  </si>
  <si>
    <t>Đàn trâu</t>
  </si>
  <si>
    <t>Đàn bò</t>
  </si>
  <si>
    <t xml:space="preserve">Đàn lợn </t>
  </si>
  <si>
    <t>Tổng đàn gia cầm</t>
  </si>
  <si>
    <t>Thịt lợn hơi các loại</t>
  </si>
  <si>
    <t>IV</t>
  </si>
  <si>
    <t>THỦY SẢN</t>
  </si>
  <si>
    <t>Tổng diện tích nuôi trồng thủy sản</t>
  </si>
  <si>
    <t>Sản lượng</t>
  </si>
  <si>
    <t>V</t>
  </si>
  <si>
    <t>LÂM NGHIỆP</t>
  </si>
  <si>
    <t>Tỷ lệ che phủ rừng</t>
  </si>
  <si>
    <t>Tổng diện tích rừng hiện có</t>
  </si>
  <si>
    <t>Rừng tự nhiên</t>
  </si>
  <si>
    <t>+ Rừng sản xuất</t>
  </si>
  <si>
    <t>+ Rừng phòng hộ</t>
  </si>
  <si>
    <t>+ Rừng đặc dụng</t>
  </si>
  <si>
    <t>Rừng trồng tập trung</t>
  </si>
  <si>
    <t>Rừng cảnh quan</t>
  </si>
  <si>
    <t>VI</t>
  </si>
  <si>
    <t>NÔNG THÔN MỚI</t>
  </si>
  <si>
    <t>Tiêu chi bình quân/xã</t>
  </si>
  <si>
    <t>Số xã đạt chuẩn nông thôn mới</t>
  </si>
  <si>
    <t>Biểu số 3</t>
  </si>
  <si>
    <t xml:space="preserve">Sản xuất gạch thủ công </t>
  </si>
  <si>
    <t>Đá xây dựng</t>
  </si>
  <si>
    <t>Chế biến chè khô</t>
  </si>
  <si>
    <t>Sản xuất xi măng</t>
  </si>
  <si>
    <t>Sản xuất rượu địa phương</t>
  </si>
  <si>
    <t>Nước máy sinh hoạt</t>
  </si>
  <si>
    <t>Sản xuất tấm lợp (tôn ép xốp)</t>
  </si>
  <si>
    <t>Tỷ lệ xã phường được sử dụng điện lưới quốc gia</t>
  </si>
  <si>
    <t>Tỷ lệ hộ được sử dụng điện</t>
  </si>
  <si>
    <t>Tỷ lệ số hộ nông thôn có điện</t>
  </si>
  <si>
    <t>Tỷ lệ hộ được sử dụng điện lưới Quốc gia</t>
  </si>
  <si>
    <t>THƯƠNG MẠI</t>
  </si>
  <si>
    <t>- Tổng mức bán lẻ hàng hóa và dịch vụ tiêu dùng xã hội</t>
  </si>
  <si>
    <t>- Tốc độ tăng tổng mức bán lẻ hàng hóa và dịch vụ tiêu dùng xã hội</t>
  </si>
  <si>
    <t xml:space="preserve"> % </t>
  </si>
  <si>
    <t>Trong đó:</t>
  </si>
  <si>
    <t xml:space="preserve"> - Tài chính</t>
  </si>
  <si>
    <t>"</t>
  </si>
  <si>
    <t xml:space="preserve"> - Ngân hàng </t>
  </si>
  <si>
    <t xml:space="preserve"> - Bảo hiểm</t>
  </si>
  <si>
    <t xml:space="preserve"> - Doanh thu ngành vận tải</t>
  </si>
  <si>
    <t>- Tốc độ tăng khối lượng hàng hoá vận chuyển</t>
  </si>
  <si>
    <t>- Tốc độ tăng khối lượng hàng hoá luân chuyển</t>
  </si>
  <si>
    <t>- Tốc độ tăng khối lượng hành khách vận chuyển</t>
  </si>
  <si>
    <t>- Tốc độ tăng khối lượng hành khách luân chuyển</t>
  </si>
  <si>
    <t xml:space="preserve">Bưu chính viễn thông </t>
  </si>
  <si>
    <t>Thuê bao</t>
  </si>
  <si>
    <t>- Số thuê bao internet băng thông rộng/100 dân</t>
  </si>
  <si>
    <t>Phát thanh</t>
  </si>
  <si>
    <t>Tổng số giờ phát sóng</t>
  </si>
  <si>
    <t>Giờ</t>
  </si>
  <si>
    <t xml:space="preserve"> + Đài tỉnh</t>
  </si>
  <si>
    <t xml:space="preserve"> + Đài huyện</t>
  </si>
  <si>
    <t>Truyền hình</t>
  </si>
  <si>
    <t>Tr.đó:  + Đài truyền hình tỉnh</t>
  </si>
  <si>
    <t xml:space="preserve">         + Đài TH huyện, khu vực</t>
  </si>
  <si>
    <t>- Doanh thu ngành du lịch</t>
  </si>
  <si>
    <t xml:space="preserve"> - Khách quốc tế</t>
  </si>
  <si>
    <t>Lượt người</t>
  </si>
  <si>
    <t xml:space="preserve"> - Khách nội địa</t>
  </si>
  <si>
    <t>TÀI CHÍNH - NGÂN HÀNG - BẢO HIỂM</t>
  </si>
  <si>
    <t>VẬN TẢI</t>
  </si>
  <si>
    <t>THÔNG TIN - TRUYỀN THÔNG</t>
  </si>
  <si>
    <t>DU LỊCH</t>
  </si>
  <si>
    <t>GIÁO DỤC</t>
  </si>
  <si>
    <t>Tổng số học sinh</t>
  </si>
  <si>
    <t>Giáo dục mầm non</t>
  </si>
  <si>
    <t>- Số học sinh mẫu giáo</t>
  </si>
  <si>
    <t xml:space="preserve">Học sinh </t>
  </si>
  <si>
    <t>Giáo dục tiểu học</t>
  </si>
  <si>
    <t>- Số học sinh tiểu học</t>
  </si>
  <si>
    <t>Giáo dục trung học cơ sở</t>
  </si>
  <si>
    <t>- Số học sinh trung học cơ sở</t>
  </si>
  <si>
    <t>Giáo dục trung học phổ thông</t>
  </si>
  <si>
    <t>- Số học sinh trung học phổ thông</t>
  </si>
  <si>
    <t xml:space="preserve"> Tổng số trường học </t>
  </si>
  <si>
    <t xml:space="preserve"> Trường</t>
  </si>
  <si>
    <t xml:space="preserve"> - Trường mầm non</t>
  </si>
  <si>
    <t xml:space="preserve"> - Trường phổ thông tiểu học</t>
  </si>
  <si>
    <t xml:space="preserve"> - Trường trung học cơ sở (cấp 2)</t>
  </si>
  <si>
    <t>Xây dựng trường chuẩn quốc gia</t>
  </si>
  <si>
    <t>Số trường đạt chuẩn quốc gia mức độ I</t>
  </si>
  <si>
    <t>Trường</t>
  </si>
  <si>
    <t>Tỷ lệ trường đạt chuẩn quốc gia mức độ I</t>
  </si>
  <si>
    <t>Trong đó: + Cấp mầm non</t>
  </si>
  <si>
    <t xml:space="preserve">                + Cấp Tiểu học</t>
  </si>
  <si>
    <t xml:space="preserve">                + Cấp THCS</t>
  </si>
  <si>
    <t>Số trường đạt chuẩn quốc gia mức độ II</t>
  </si>
  <si>
    <t>Tỷ lệ trường đạt chuẩn quốc gia mức độ II</t>
  </si>
  <si>
    <t>Số trường học thông minh</t>
  </si>
  <si>
    <t>Trong đó số trường công nhận mới</t>
  </si>
  <si>
    <t>ĐÀO TẠO</t>
  </si>
  <si>
    <t>Đại học, cao đẳng</t>
  </si>
  <si>
    <t xml:space="preserve"> Người </t>
  </si>
  <si>
    <t xml:space="preserve"> - Tuyển mới đại học, cao đẳng chính quy</t>
  </si>
  <si>
    <t>Tốc độ tăng tuyển mới cao đẳng chính quy</t>
  </si>
  <si>
    <t>Dạy nghề và trung cấp chuyên nghiệp</t>
  </si>
  <si>
    <t xml:space="preserve"> - Tuyển mới trung cấp chuyên nghiệp</t>
  </si>
  <si>
    <t>Tốc độ tăng tuyển mới trung cấp chuyên nghiệp</t>
  </si>
  <si>
    <t>- Tuyển mới cao đẳng nghề và trung cấp nghề</t>
  </si>
  <si>
    <t>Tốc độ tăng tuyển mới cao đẳng, trung cấp nghề</t>
  </si>
  <si>
    <t xml:space="preserve"> - Số lao động được đào tạo nghề trong năm</t>
  </si>
  <si>
    <t>- Tỷ lệ lao động qua đào tạo</t>
  </si>
  <si>
    <t>Đào tạo sau đại học</t>
  </si>
  <si>
    <t>Trong đó: Số người được cử đi đào tạo tiến sỹ trong năm</t>
  </si>
  <si>
    <t>Tổng số lượt cán bộ công chức, viên chức được cử đi đào tạo, bồi dưỡng trong năm</t>
  </si>
  <si>
    <t>Biểu số 4</t>
  </si>
  <si>
    <t>DÂN SỐ - Y TẾ</t>
  </si>
  <si>
    <t>DÂN SỐ</t>
  </si>
  <si>
    <t>Dân số trung bình (năm cuối kỳ)</t>
  </si>
  <si>
    <t>Trong đó: Dân số nông thôn</t>
  </si>
  <si>
    <t>- Mức giảm tỷ lệ sinh</t>
  </si>
  <si>
    <t xml:space="preserve"> %o </t>
  </si>
  <si>
    <t>- Tỷ lệ tăng dân số</t>
  </si>
  <si>
    <t xml:space="preserve"> - Tốc độ tăng dân số tự nhiên</t>
  </si>
  <si>
    <t>Y TẾ</t>
  </si>
  <si>
    <t>Số giường bệnh/1 vạn dân (không tính giường của trạm y tế xã)</t>
  </si>
  <si>
    <t xml:space="preserve"> Giường </t>
  </si>
  <si>
    <t>Số giường bệnh quốc lập/1 vạn dân</t>
  </si>
  <si>
    <t>Số giường bệnh tư/ 1 vạn dân</t>
  </si>
  <si>
    <t>Số bác sỹ/ 1 vạn dân (riêng tuyến thành phố)</t>
  </si>
  <si>
    <t xml:space="preserve"> Bác sỹ </t>
  </si>
  <si>
    <t>Tỷ suất chết của người mẹ trong thời gian thai sản trên 100.000 trẻ đẻ sống</t>
  </si>
  <si>
    <t>1/1000000</t>
  </si>
  <si>
    <t>Tỷ suất chết trẻ em dưới 1 tuổi</t>
  </si>
  <si>
    <t>Tỷ suất chết của trẻ em dưới 5 tuổi</t>
  </si>
  <si>
    <t>Tỷ lệ trẻ em dưới 5 tuổi suy dinh dưỡng (cân nặng theo tuổi)</t>
  </si>
  <si>
    <t xml:space="preserve">Tỷ lệ xã đạt tiêu chí quốc gia (theo tiêu chí mới) </t>
  </si>
  <si>
    <t>Tỷ lệ trẻ em dưới 1 tuổi tiêm đủ các loại vaccine</t>
  </si>
  <si>
    <t>Tỷ lệ xã có bác sỹ làm việc (bao gồm cả bác sỹ làm việc định kỳ)</t>
  </si>
  <si>
    <t>Tỷ lệ bao phủ bảo hiểm y tế</t>
  </si>
  <si>
    <t>LAO ĐỘNG</t>
  </si>
  <si>
    <t>Lực lượng lao động từ 15 tuổi trở lên</t>
  </si>
  <si>
    <t>Lao động từ 15 tuổi trở lên đang làm việc trong nền kinh tế quốc dân</t>
  </si>
  <si>
    <t>Cơ cấu lao động (năm cuối kỳ)</t>
  </si>
  <si>
    <t>- Nông, lâm nghiệp và thuỷ sản</t>
  </si>
  <si>
    <t>- Công nghiệp và xây dựng</t>
  </si>
  <si>
    <t>- Dịch vụ</t>
  </si>
  <si>
    <t>Số lao động được tạo việc làm</t>
  </si>
  <si>
    <t>Trong đó: Số lao động nữ được tạo việc làm</t>
  </si>
  <si>
    <t>Tỷ lệ thất nghiệp khu vực thành thị</t>
  </si>
  <si>
    <t>Trong đó: Tỷ lệ nữ thất nghiệp ở khu vực thành thị</t>
  </si>
  <si>
    <t>Tỷ lệ thiếu việc làm khu vực nông thôn</t>
  </si>
  <si>
    <t>Trong đó: Tỷ lệ nữ thiếu việc làm ở khu vực nông thôn</t>
  </si>
  <si>
    <t xml:space="preserve"> Số lao động được đào tạo trong năm (bao gồm cả đào tạo hệ Đại học, cao đẳng, trung cấp)</t>
  </si>
  <si>
    <t xml:space="preserve"> Trong đó: đào tạo nghề</t>
  </si>
  <si>
    <t>Tỷ lệ lao động qua đào tạo trong tổng số lao động đang làm việc trong nền kinh tế</t>
  </si>
  <si>
    <t xml:space="preserve"> + Trong đó: Tỷ lệ lao động nữ qua đào tạo</t>
  </si>
  <si>
    <t>XÓA ĐÓI GIẢM NGHÈO</t>
  </si>
  <si>
    <t xml:space="preserve"> Tổng số hộ</t>
  </si>
  <si>
    <t>Hộ</t>
  </si>
  <si>
    <t>Số hộ nghèo</t>
  </si>
  <si>
    <t>Tỷ lệ hộ nghèo (cuối kỳ)</t>
  </si>
  <si>
    <t>Mức giảm tỷ lệ hộ nghèo</t>
  </si>
  <si>
    <t>D</t>
  </si>
  <si>
    <t>VĂN HÓA - THỂ THAO</t>
  </si>
  <si>
    <t>Số thư viện</t>
  </si>
  <si>
    <t>Thư viện</t>
  </si>
  <si>
    <t>Báo chí</t>
  </si>
  <si>
    <t xml:space="preserve"> - Số báo phát hành</t>
  </si>
  <si>
    <t>số</t>
  </si>
  <si>
    <t>- Số lượng phát hành</t>
  </si>
  <si>
    <t>bản</t>
  </si>
  <si>
    <t>Nhà văn hóa</t>
  </si>
  <si>
    <t>Huyện, Thành phố</t>
  </si>
  <si>
    <t>Nhà VH</t>
  </si>
  <si>
    <t>Xã, phường, thị trấn</t>
  </si>
  <si>
    <t>Thôn, bản</t>
  </si>
  <si>
    <t>Số di tích được tu bổ</t>
  </si>
  <si>
    <t xml:space="preserve"> Di tích </t>
  </si>
  <si>
    <t>Số sân vận động</t>
  </si>
  <si>
    <t>Sân</t>
  </si>
  <si>
    <t>Tỷ lệ số thôn, bản, khu phố đạt tiêu chuẩn văn hóa</t>
  </si>
  <si>
    <t>Tỷ lệ doanh nghiêp đạt chuẩn văn hóa</t>
  </si>
  <si>
    <t>Tỷ lệ tuyến phố đạt tuyến phố văn minh (trên tổng số 131 tuyến phố)</t>
  </si>
  <si>
    <t xml:space="preserve">Phường đạt chuẩn văn minh đô thị, </t>
  </si>
  <si>
    <t xml:space="preserve"> Phường</t>
  </si>
  <si>
    <t>Trong đó công nhận mới</t>
  </si>
  <si>
    <t>E</t>
  </si>
  <si>
    <t>BẢO HIỂM</t>
  </si>
  <si>
    <t>F</t>
  </si>
  <si>
    <t>TRẺ EM</t>
  </si>
  <si>
    <t>Tỷ lệ xã, phường phù hợp với trẻ em</t>
  </si>
  <si>
    <t>Tỷ lệ trẻ em có hoàn cảnh đặc biệt được chăm sóc</t>
  </si>
  <si>
    <t>Biểu số 6</t>
  </si>
  <si>
    <t>Biểu số 5</t>
  </si>
  <si>
    <t>ha</t>
  </si>
  <si>
    <t>Nghìn tấn</t>
  </si>
  <si>
    <t>Ha</t>
  </si>
  <si>
    <t>Tạ/ha</t>
  </si>
  <si>
    <t>Tấn</t>
  </si>
  <si>
    <t>Ta/ha</t>
  </si>
  <si>
    <t>Con</t>
  </si>
  <si>
    <t>Nghìn con</t>
  </si>
  <si>
    <t>Tiêu chí/xã</t>
  </si>
  <si>
    <t>xã</t>
  </si>
  <si>
    <t>1000 Viên</t>
  </si>
  <si>
    <t>4,0</t>
  </si>
  <si>
    <t>6,7</t>
  </si>
  <si>
    <t>10,5</t>
  </si>
  <si>
    <t>97,2</t>
  </si>
  <si>
    <t>Tổng số hợp tác xã</t>
  </si>
  <si>
    <t>HTX</t>
  </si>
  <si>
    <t>Số hợp tác xã thành lập mới</t>
  </si>
  <si>
    <t>Số hợp tác xã giải thể</t>
  </si>
  <si>
    <t>Tổng số thành viên hợp tác xã</t>
  </si>
  <si>
    <t>Tổng số lao động trong hợp tác xã</t>
  </si>
  <si>
    <t>Trong đó: Số lao động là thành viên hợp tác xã</t>
  </si>
  <si>
    <t>- Trường phổ thông cơ sở (cấp 1;2)</t>
  </si>
  <si>
    <t>(Kèm theo báo cáo số:                 /BC-UBND ngày               tháng              năm 2023 của UBND thành phố Lai Châu)</t>
  </si>
  <si>
    <t>- Số thuê bao điện thoại/1000 dân</t>
  </si>
  <si>
    <t>Số người tham gia BHXH bắt buộc</t>
  </si>
  <si>
    <t>Số người tham gia BHXH thất nghiệp</t>
  </si>
  <si>
    <t>So sánh (%)</t>
  </si>
  <si>
    <t>Thực hiện năm 2022</t>
  </si>
  <si>
    <t>Thực hiện năm 2021</t>
  </si>
  <si>
    <t>Đơn vị tính</t>
  </si>
  <si>
    <t>Chỉ tiêu</t>
  </si>
  <si>
    <t>Stt</t>
  </si>
  <si>
    <t>Ghi chú</t>
  </si>
  <si>
    <t>Thực hiện năm 2020</t>
  </si>
  <si>
    <t>TỐC ĐỘ TĂNG GTSX</t>
  </si>
  <si>
    <t>-</t>
  </si>
  <si>
    <t>Biểu số 7</t>
  </si>
  <si>
    <t>Ước thực hiện năm 2023</t>
  </si>
  <si>
    <t>Kế hoạch giai đoạn 2021-2025</t>
  </si>
  <si>
    <t>Kế hoạch 2025</t>
  </si>
  <si>
    <t xml:space="preserve"> Trong đó: + Trường phổ thông DTNT tỉnh, huyện</t>
  </si>
  <si>
    <t>CÁC CHỈ TIÊU VỀ MÔI TRƯỜNG</t>
  </si>
  <si>
    <t xml:space="preserve"> 1000 L</t>
  </si>
  <si>
    <t>Số lớp học thông minh</t>
  </si>
  <si>
    <t xml:space="preserve">- Tỷ lệ người dân được quản lý sức khỏe bằng sổ điện tử </t>
  </si>
  <si>
    <t>Phường đạt chuẩn đô thị văn minh</t>
  </si>
  <si>
    <t>Không đánh giá chỉ tiêu này</t>
  </si>
  <si>
    <r>
      <t>%</t>
    </r>
    <r>
      <rPr>
        <i/>
        <sz val="12"/>
        <color rgb="FF002060"/>
        <rFont val="Times New Roman"/>
        <family val="1"/>
      </rPr>
      <t>o</t>
    </r>
  </si>
  <si>
    <t>KẾT QUẢ THỰC HIỆN SƠ KẾT GIỮA KỲ MỘT SỐ CHỈ TIÊU CHỦ YẾU KẾ HOẠCH PHÁT TRIỂN KINH TẾ - XÃ HỘI GIAI ĐOẠN 2021-2025</t>
  </si>
  <si>
    <t>KẾT QUẢ THỰC HIỆN SƠ KẾT GIỮA KỲ MỘT SỐ CHỈ TIÊU NGÀNH NÔNG, LÂM NGHIỆP VÀ THỦY SẢN GIAI ĐOẠN 2021-2025</t>
  </si>
  <si>
    <t>KẾT QUẢ THỰC HIỆN SƠ KẾT GIỮA KỲ MỘT SỐ CHỈ TIÊU NGÀNH CÔNG NGHIỆP GIAI ĐOẠN 2021-2025</t>
  </si>
  <si>
    <t>KẾT QUẢ THỰC HIỆN SƠ KẾT GIỮA KỲ MỘT SỐ CHỈ TIÊU NGÀNH DỊCH VỤ GIAI ĐOẠN 2021-2025</t>
  </si>
  <si>
    <t>KẾT QUẢ THỰC HIỆN SƠ KẾT GIỮA KỲ MỘT SỐ CHỈ TIÊU NGÀNH GIÁO DỤC VÀ ĐÀO TẠO GIAI ĐOẠN 2021-2025</t>
  </si>
  <si>
    <t>KẾT QUẢ THỰC HIỆN SƠ KẾT GIỮA KỲ MỘT SỐ CHỈ TIÊU LĨNH VỰC XÃ HỘI GIAI ĐOẠN 2021-2025</t>
  </si>
  <si>
    <t>Đánh giá đạt, vượt kế hoạch</t>
  </si>
  <si>
    <t>Đến 2023</t>
  </si>
  <si>
    <t>Đến 2025</t>
  </si>
  <si>
    <t>x</t>
  </si>
  <si>
    <t>Ước TH năm</t>
  </si>
  <si>
    <t>Ước TH 6 tháng</t>
  </si>
  <si>
    <t>Ước TH
 6 tháng</t>
  </si>
  <si>
    <t>Ước TH năm 2023</t>
  </si>
  <si>
    <t xml:space="preserve">Ước TH 6 tháng </t>
  </si>
  <si>
    <t>Ước TH cả năm</t>
  </si>
  <si>
    <t>Ước TH 6 tháng đầu năm</t>
  </si>
  <si>
    <t>KẾT QUẢ THỰC HIỆN SƠ KẾT GIỮA KỲ MỘT SỐ CHỈ TIÊU LĨNH VỰC KINH TẾ TẬP THỂ - HỢP TÁC XÃ GIAI ĐOẠN 2021-2025</t>
  </si>
  <si>
    <t>Tốc độ tăng đàn gia súc</t>
  </si>
  <si>
    <t>Ước thực hiện giai đoạn 2021-2025</t>
  </si>
  <si>
    <t>,</t>
  </si>
  <si>
    <t>Không đánh giá 6 tháng</t>
  </si>
  <si>
    <t>Ước TH năm 2024</t>
  </si>
  <si>
    <t>Ước TH  năm 2025</t>
  </si>
  <si>
    <t>Ước TH 2,5 năm/TH năm 2020</t>
  </si>
  <si>
    <t>16=13/5</t>
  </si>
  <si>
    <t>Ước TH 2,5 năm (Đến tháng 6/2023)</t>
  </si>
  <si>
    <t>Ước TH 2,5 năm/Kế hoạch giai đoạn 2021- 2025</t>
  </si>
  <si>
    <t>Ước TH  kế hoạch giai đoạn 2021- 2025/Kế hoạch giai đoạn 2021-2025</t>
  </si>
  <si>
    <t>14=10/4</t>
  </si>
  <si>
    <t>15=10/5</t>
  </si>
  <si>
    <r>
      <t>1000 m</t>
    </r>
    <r>
      <rPr>
        <vertAlign val="superscript"/>
        <sz val="14"/>
        <color rgb="FFFF0000"/>
        <rFont val="Times New Roman"/>
        <family val="1"/>
      </rPr>
      <t>3</t>
    </r>
  </si>
  <si>
    <r>
      <t>m</t>
    </r>
    <r>
      <rPr>
        <vertAlign val="superscript"/>
        <sz val="14"/>
        <color rgb="FFFF0000"/>
        <rFont val="Times New Roman"/>
        <family val="1"/>
      </rPr>
      <t>2</t>
    </r>
  </si>
  <si>
    <t>`</t>
  </si>
  <si>
    <t>SẢN PHẨM CHỦ YẾU</t>
  </si>
  <si>
    <t>HẠ TẦNG ĐIỆN LƯỚI</t>
  </si>
  <si>
    <t>HỢP TÁC XÃ</t>
  </si>
  <si>
    <t>THU NSĐP</t>
  </si>
  <si>
    <t>THU NSĐB</t>
  </si>
  <si>
    <t>6TH</t>
  </si>
  <si>
    <t>CHI NSĐP</t>
  </si>
  <si>
    <t>KH TỈNH GIAO</t>
  </si>
  <si>
    <t>KH TP GIAO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</si>
</sst>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-* #,##0\ _₫_-;\-* #,##0\ _₫_-;_-* &quot;-&quot;\ _₫_-;_-@_-"/>
    <numFmt numFmtId="43" formatCode="_-* #,##0.00\ _₫_-;\-* #,##0.00\ _₫_-;_-* &quot;-&quot;??\ _₫_-;_-@_-"/>
    <numFmt numFmtId="164" formatCode="_(* #,##0_);_(* \(#,##0\);_(* &quot;-&quot;_);_(@_)"/>
    <numFmt numFmtId="165" formatCode="_(* #,##0.00_);_(* \(#,##0.00\);_(* &quot;-&quot;??_);_(@_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_(* #,##0.0_);_(* \(#,##0.0\);_(* &quot;-&quot;_);_(@_)"/>
    <numFmt numFmtId="170" formatCode="_(* #,##0.00_);_(* \(#,##0.00\);_(* &quot;-&quot;_);_(@_)"/>
    <numFmt numFmtId="171" formatCode="_(* #,##0.000_);_(* \(#,##0.000\);_(* &quot;-&quot;??_);_(@_)"/>
    <numFmt numFmtId="172" formatCode="_(* #,##0.0_);_(* \(#,##0.0\);_(* &quot;-&quot;?_);_(@_)"/>
    <numFmt numFmtId="173" formatCode="0.000"/>
    <numFmt numFmtId="174" formatCode="_(* #,##0_);_(* \(#,##0\);_(* &quot;-&quot;?_);_(@_)"/>
    <numFmt numFmtId="175" formatCode="_-* #,##0.0\ _₫_-;\-* #,##0.0\ _₫_-;_-* &quot;-&quot;\ _₫_-;_-@_-"/>
    <numFmt numFmtId="176" formatCode="_-* #,##0\ _₫_-;\-* #,##0\ _₫_-;_-* &quot;-&quot;??\ _₫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.VnTime"/>
      <family val="2"/>
    </font>
    <font>
      <sz val="14"/>
      <color rgb="FF002060"/>
      <name val="Times New Roman"/>
      <family val="1"/>
    </font>
    <font>
      <b/>
      <u/>
      <sz val="14"/>
      <color rgb="FF002060"/>
      <name val="Times New Roman"/>
      <family val="1"/>
    </font>
    <font>
      <b/>
      <sz val="14"/>
      <color rgb="FF002060"/>
      <name val="Times New Roman"/>
      <family val="1"/>
    </font>
    <font>
      <i/>
      <sz val="14"/>
      <color rgb="FF002060"/>
      <name val="Times New Roman"/>
      <family val="1"/>
    </font>
    <font>
      <sz val="12"/>
      <color rgb="FF002060"/>
      <name val="Times New Roman"/>
      <family val="1"/>
    </font>
    <font>
      <sz val="13"/>
      <color rgb="FF002060"/>
      <name val="Times New Roman"/>
      <family val="1"/>
    </font>
    <font>
      <b/>
      <i/>
      <u/>
      <sz val="14"/>
      <color rgb="FF002060"/>
      <name val="Times New Roman"/>
      <family val="1"/>
    </font>
    <font>
      <b/>
      <i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sz val="10"/>
      <color rgb="FF002060"/>
      <name val="Times New Roman"/>
      <family val="1"/>
    </font>
    <font>
      <i/>
      <sz val="12"/>
      <color rgb="FF00206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vertAlign val="superscript"/>
      <sz val="14"/>
      <color rgb="FFFF0000"/>
      <name val="Times New Roman"/>
      <family val="1"/>
    </font>
    <font>
      <sz val="12"/>
      <color rgb="FFFF0000"/>
      <name val="Times New Roman"/>
      <family val="1"/>
    </font>
    <font>
      <i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403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/>
    <xf numFmtId="0" fontId="8" fillId="0" borderId="1" xfId="0" applyFont="1" applyBorder="1" applyAlignment="1">
      <alignment horizontal="center" vertical="center"/>
    </xf>
    <xf numFmtId="0" fontId="6" fillId="0" borderId="1" xfId="0" applyFont="1" applyBorder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167" fontId="8" fillId="0" borderId="1" xfId="1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1" fontId="6" fillId="0" borderId="1" xfId="0" applyNumberFormat="1" applyFont="1" applyBorder="1" applyAlignment="1">
      <alignment vertical="center"/>
    </xf>
    <xf numFmtId="0" fontId="8" fillId="2" borderId="1" xfId="0" quotePrefix="1" applyFont="1" applyFill="1" applyBorder="1" applyAlignment="1">
      <alignment horizontal="left" vertical="center" wrapText="1"/>
    </xf>
    <xf numFmtId="167" fontId="6" fillId="0" borderId="1" xfId="1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7" fontId="6" fillId="0" borderId="0" xfId="1" applyNumberFormat="1" applyFont="1"/>
    <xf numFmtId="0" fontId="7" fillId="0" borderId="0" xfId="0" applyFont="1" applyAlignment="1"/>
    <xf numFmtId="0" fontId="8" fillId="0" borderId="3" xfId="0" applyFont="1" applyBorder="1" applyAlignment="1">
      <alignment horizontal="right" vertical="center" wrapText="1"/>
    </xf>
    <xf numFmtId="167" fontId="6" fillId="2" borderId="1" xfId="1" applyNumberFormat="1" applyFont="1" applyFill="1" applyBorder="1" applyAlignment="1">
      <alignment horizontal="center" vertical="center" wrapText="1"/>
    </xf>
    <xf numFmtId="167" fontId="6" fillId="0" borderId="1" xfId="1" applyNumberFormat="1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167" fontId="8" fillId="2" borderId="1" xfId="1" applyNumberFormat="1" applyFont="1" applyFill="1" applyBorder="1" applyAlignment="1">
      <alignment horizontal="center" vertical="center" wrapText="1"/>
    </xf>
    <xf numFmtId="0" fontId="6" fillId="0" borderId="1" xfId="0" quotePrefix="1" applyFont="1" applyBorder="1" applyAlignment="1">
      <alignment vertical="center" wrapText="1"/>
    </xf>
    <xf numFmtId="169" fontId="6" fillId="0" borderId="1" xfId="6" applyNumberFormat="1" applyFont="1" applyBorder="1" applyAlignment="1">
      <alignment vertical="center"/>
    </xf>
    <xf numFmtId="0" fontId="6" fillId="0" borderId="1" xfId="0" quotePrefix="1" applyFont="1" applyBorder="1" applyAlignment="1">
      <alignment vertical="center"/>
    </xf>
    <xf numFmtId="167" fontId="8" fillId="0" borderId="1" xfId="1" applyNumberFormat="1" applyFont="1" applyBorder="1" applyAlignment="1">
      <alignment vertical="center"/>
    </xf>
    <xf numFmtId="41" fontId="8" fillId="0" borderId="1" xfId="6" applyNumberFormat="1" applyFont="1" applyBorder="1" applyAlignment="1">
      <alignment vertical="center"/>
    </xf>
    <xf numFmtId="41" fontId="6" fillId="0" borderId="1" xfId="6" applyNumberFormat="1" applyFont="1" applyBorder="1" applyAlignment="1">
      <alignment vertical="center"/>
    </xf>
    <xf numFmtId="0" fontId="8" fillId="0" borderId="1" xfId="0" quotePrefix="1" applyFont="1" applyBorder="1" applyAlignment="1">
      <alignment vertical="center"/>
    </xf>
    <xf numFmtId="0" fontId="9" fillId="0" borderId="1" xfId="0" quotePrefix="1" applyFont="1" applyBorder="1" applyAlignment="1">
      <alignment vertical="center"/>
    </xf>
    <xf numFmtId="166" fontId="6" fillId="0" borderId="1" xfId="1" applyNumberFormat="1" applyFont="1" applyBorder="1" applyAlignment="1">
      <alignment vertical="center"/>
    </xf>
    <xf numFmtId="41" fontId="6" fillId="0" borderId="1" xfId="6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166" fontId="8" fillId="2" borderId="1" xfId="1" applyNumberFormat="1" applyFont="1" applyFill="1" applyBorder="1" applyAlignment="1">
      <alignment horizontal="left" vertical="center"/>
    </xf>
    <xf numFmtId="167" fontId="8" fillId="2" borderId="1" xfId="1" applyNumberFormat="1" applyFont="1" applyFill="1" applyBorder="1" applyAlignment="1">
      <alignment vertical="center"/>
    </xf>
    <xf numFmtId="41" fontId="8" fillId="0" borderId="1" xfId="6" applyFont="1" applyBorder="1" applyAlignment="1">
      <alignment vertical="center"/>
    </xf>
    <xf numFmtId="166" fontId="6" fillId="2" borderId="1" xfId="1" applyNumberFormat="1" applyFont="1" applyFill="1" applyBorder="1" applyAlignment="1">
      <alignment horizontal="left" vertical="center"/>
    </xf>
    <xf numFmtId="43" fontId="8" fillId="0" borderId="1" xfId="1" applyNumberFormat="1" applyFont="1" applyBorder="1" applyAlignment="1">
      <alignment vertical="center"/>
    </xf>
    <xf numFmtId="169" fontId="8" fillId="0" borderId="1" xfId="6" applyNumberFormat="1" applyFont="1" applyBorder="1" applyAlignment="1">
      <alignment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3" quotePrefix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67" fontId="6" fillId="0" borderId="1" xfId="1" applyNumberFormat="1" applyFont="1" applyBorder="1" applyAlignment="1">
      <alignment horizontal="center" vertical="center"/>
    </xf>
    <xf numFmtId="41" fontId="6" fillId="0" borderId="1" xfId="6" applyFont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41" fontId="6" fillId="0" borderId="1" xfId="6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quotePrefix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quotePrefix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quotePrefix="1" applyNumberFormat="1" applyFont="1" applyFill="1" applyBorder="1" applyAlignment="1">
      <alignment horizontal="left" vertical="center" wrapText="1"/>
    </xf>
    <xf numFmtId="167" fontId="6" fillId="0" borderId="1" xfId="1" applyNumberFormat="1" applyFont="1" applyBorder="1"/>
    <xf numFmtId="166" fontId="6" fillId="0" borderId="1" xfId="1" applyNumberFormat="1" applyFont="1" applyBorder="1" applyAlignment="1">
      <alignment horizontal="right" vertical="center"/>
    </xf>
    <xf numFmtId="169" fontId="6" fillId="0" borderId="1" xfId="6" applyNumberFormat="1" applyFont="1" applyBorder="1" applyAlignment="1">
      <alignment horizontal="right" vertical="center"/>
    </xf>
    <xf numFmtId="169" fontId="6" fillId="0" borderId="1" xfId="6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6" fillId="3" borderId="1" xfId="0" quotePrefix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7" fontId="6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5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vertical="center" wrapText="1"/>
    </xf>
    <xf numFmtId="0" fontId="6" fillId="2" borderId="0" xfId="0" applyFont="1" applyFill="1"/>
    <xf numFmtId="0" fontId="10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8" fillId="2" borderId="1" xfId="0" applyFont="1" applyFill="1" applyBorder="1" applyAlignment="1">
      <alignment horizontal="right" vertical="center"/>
    </xf>
    <xf numFmtId="1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167" fontId="6" fillId="2" borderId="1" xfId="1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/>
    </xf>
    <xf numFmtId="0" fontId="8" fillId="2" borderId="3" xfId="0" applyFont="1" applyFill="1" applyBorder="1" applyAlignment="1">
      <alignment horizontal="right" vertical="center" wrapText="1"/>
    </xf>
    <xf numFmtId="167" fontId="6" fillId="2" borderId="1" xfId="1" applyNumberFormat="1" applyFont="1" applyFill="1" applyBorder="1" applyAlignment="1">
      <alignment vertical="center"/>
    </xf>
    <xf numFmtId="166" fontId="6" fillId="2" borderId="1" xfId="1" applyNumberFormat="1" applyFont="1" applyFill="1" applyBorder="1" applyAlignment="1">
      <alignment vertical="center"/>
    </xf>
    <xf numFmtId="43" fontId="8" fillId="2" borderId="1" xfId="1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167" fontId="6" fillId="2" borderId="1" xfId="1" applyNumberFormat="1" applyFont="1" applyFill="1" applyBorder="1" applyAlignment="1">
      <alignment horizontal="center" vertical="center"/>
    </xf>
    <xf numFmtId="41" fontId="6" fillId="2" borderId="1" xfId="6" applyFont="1" applyFill="1" applyBorder="1" applyAlignment="1">
      <alignment vertical="center"/>
    </xf>
    <xf numFmtId="167" fontId="6" fillId="2" borderId="1" xfId="0" applyNumberFormat="1" applyFont="1" applyFill="1" applyBorder="1" applyAlignment="1">
      <alignment vertical="center"/>
    </xf>
    <xf numFmtId="170" fontId="8" fillId="0" borderId="1" xfId="6" applyNumberFormat="1" applyFont="1" applyBorder="1" applyAlignment="1">
      <alignment vertical="center"/>
    </xf>
    <xf numFmtId="167" fontId="8" fillId="0" borderId="1" xfId="1" applyNumberFormat="1" applyFont="1" applyBorder="1" applyAlignment="1">
      <alignment horizontal="center" vertical="center"/>
    </xf>
    <xf numFmtId="41" fontId="8" fillId="0" borderId="1" xfId="6" applyFont="1" applyBorder="1" applyAlignment="1">
      <alignment horizontal="right" vertical="center"/>
    </xf>
    <xf numFmtId="0" fontId="6" fillId="2" borderId="1" xfId="0" quotePrefix="1" applyFont="1" applyFill="1" applyBorder="1" applyAlignment="1">
      <alignment vertical="center" wrapText="1"/>
    </xf>
    <xf numFmtId="41" fontId="6" fillId="2" borderId="0" xfId="6" applyFont="1" applyFill="1" applyAlignment="1">
      <alignment vertical="center"/>
    </xf>
    <xf numFmtId="169" fontId="6" fillId="2" borderId="1" xfId="6" applyNumberFormat="1" applyFont="1" applyFill="1" applyBorder="1" applyAlignment="1">
      <alignment vertical="center"/>
    </xf>
    <xf numFmtId="170" fontId="6" fillId="0" borderId="1" xfId="6" applyNumberFormat="1" applyFont="1" applyBorder="1" applyAlignment="1">
      <alignment vertical="center"/>
    </xf>
    <xf numFmtId="169" fontId="6" fillId="0" borderId="0" xfId="6" applyNumberFormat="1" applyFont="1"/>
    <xf numFmtId="41" fontId="6" fillId="4" borderId="1" xfId="6" applyNumberFormat="1" applyFont="1" applyFill="1" applyBorder="1" applyAlignment="1">
      <alignment vertical="center"/>
    </xf>
    <xf numFmtId="0" fontId="6" fillId="4" borderId="1" xfId="0" quotePrefix="1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69" fontId="6" fillId="4" borderId="1" xfId="6" applyNumberFormat="1" applyFont="1" applyFill="1" applyBorder="1" applyAlignment="1">
      <alignment vertical="center"/>
    </xf>
    <xf numFmtId="41" fontId="6" fillId="2" borderId="1" xfId="6" applyNumberFormat="1" applyFont="1" applyFill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166" fontId="8" fillId="0" borderId="1" xfId="1" applyNumberFormat="1" applyFont="1" applyBorder="1" applyAlignment="1">
      <alignment vertical="center"/>
    </xf>
    <xf numFmtId="166" fontId="8" fillId="2" borderId="1" xfId="1" applyNumberFormat="1" applyFont="1" applyFill="1" applyBorder="1" applyAlignment="1">
      <alignment vertical="center"/>
    </xf>
    <xf numFmtId="166" fontId="8" fillId="0" borderId="1" xfId="6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vertical="center"/>
    </xf>
    <xf numFmtId="166" fontId="8" fillId="0" borderId="1" xfId="6" applyNumberFormat="1" applyFont="1" applyBorder="1" applyAlignment="1">
      <alignment vertical="center"/>
    </xf>
    <xf numFmtId="41" fontId="6" fillId="0" borderId="1" xfId="6" applyNumberFormat="1" applyFont="1" applyFill="1" applyBorder="1" applyAlignment="1">
      <alignment vertical="center"/>
    </xf>
    <xf numFmtId="166" fontId="6" fillId="4" borderId="1" xfId="1" applyNumberFormat="1" applyFont="1" applyFill="1" applyBorder="1" applyAlignment="1">
      <alignment vertical="center"/>
    </xf>
    <xf numFmtId="41" fontId="6" fillId="0" borderId="0" xfId="6" applyFont="1"/>
    <xf numFmtId="41" fontId="8" fillId="0" borderId="1" xfId="6" applyFont="1" applyFill="1" applyBorder="1" applyAlignment="1">
      <alignment horizontal="center" vertical="center" wrapText="1"/>
    </xf>
    <xf numFmtId="41" fontId="8" fillId="0" borderId="0" xfId="6" applyFont="1"/>
    <xf numFmtId="0" fontId="8" fillId="0" borderId="0" xfId="0" applyFont="1"/>
    <xf numFmtId="169" fontId="6" fillId="0" borderId="0" xfId="0" applyNumberFormat="1" applyFont="1"/>
    <xf numFmtId="0" fontId="8" fillId="2" borderId="0" xfId="0" applyFont="1" applyFill="1" applyAlignment="1">
      <alignment vertical="center"/>
    </xf>
    <xf numFmtId="41" fontId="6" fillId="2" borderId="1" xfId="6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1" fontId="6" fillId="2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Border="1" applyAlignment="1">
      <alignment vertical="center"/>
    </xf>
    <xf numFmtId="167" fontId="6" fillId="0" borderId="1" xfId="0" applyNumberFormat="1" applyFont="1" applyBorder="1" applyAlignment="1">
      <alignment horizontal="center" vertical="center"/>
    </xf>
    <xf numFmtId="41" fontId="10" fillId="0" borderId="3" xfId="6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174" fontId="8" fillId="0" borderId="1" xfId="0" applyNumberFormat="1" applyFont="1" applyBorder="1" applyAlignment="1">
      <alignment vertical="center"/>
    </xf>
    <xf numFmtId="174" fontId="6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69" fontId="8" fillId="0" borderId="1" xfId="6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167" fontId="6" fillId="2" borderId="0" xfId="1" applyNumberFormat="1" applyFont="1" applyFill="1"/>
    <xf numFmtId="0" fontId="7" fillId="2" borderId="0" xfId="0" applyFont="1" applyFill="1" applyAlignment="1"/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1" fontId="6" fillId="2" borderId="1" xfId="6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quotePrefix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/>
    </xf>
    <xf numFmtId="166" fontId="6" fillId="2" borderId="1" xfId="1" applyNumberFormat="1" applyFont="1" applyFill="1" applyBorder="1" applyAlignment="1">
      <alignment horizontal="right" vertical="center"/>
    </xf>
    <xf numFmtId="170" fontId="6" fillId="2" borderId="1" xfId="6" applyNumberFormat="1" applyFont="1" applyFill="1" applyBorder="1" applyAlignment="1">
      <alignment horizontal="center" vertical="center"/>
    </xf>
    <xf numFmtId="43" fontId="6" fillId="2" borderId="1" xfId="1" applyNumberFormat="1" applyFont="1" applyFill="1" applyBorder="1" applyAlignment="1">
      <alignment horizontal="center" vertical="center"/>
    </xf>
    <xf numFmtId="43" fontId="6" fillId="2" borderId="1" xfId="1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169" fontId="6" fillId="2" borderId="1" xfId="6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4" fillId="2" borderId="1" xfId="0" quotePrefix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167" fontId="6" fillId="2" borderId="1" xfId="1" applyNumberFormat="1" applyFont="1" applyFill="1" applyBorder="1"/>
    <xf numFmtId="168" fontId="6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69" fontId="6" fillId="2" borderId="1" xfId="6" applyNumberFormat="1" applyFont="1" applyFill="1" applyBorder="1" applyAlignment="1">
      <alignment vertical="center" wrapText="1"/>
    </xf>
    <xf numFmtId="0" fontId="16" fillId="2" borderId="1" xfId="0" quotePrefix="1" applyFont="1" applyFill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vertical="center"/>
    </xf>
    <xf numFmtId="166" fontId="10" fillId="2" borderId="1" xfId="1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/>
    <xf numFmtId="3" fontId="6" fillId="2" borderId="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1" fontId="6" fillId="2" borderId="1" xfId="0" applyNumberFormat="1" applyFont="1" applyFill="1" applyBorder="1" applyAlignment="1">
      <alignment horizontal="right" vertical="center" wrapText="1"/>
    </xf>
    <xf numFmtId="169" fontId="8" fillId="2" borderId="1" xfId="6" applyNumberFormat="1" applyFont="1" applyFill="1" applyBorder="1" applyAlignment="1">
      <alignment vertical="center"/>
    </xf>
    <xf numFmtId="174" fontId="6" fillId="2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41" fontId="6" fillId="0" borderId="1" xfId="6" applyNumberFormat="1" applyFont="1" applyBorder="1" applyAlignment="1">
      <alignment horizontal="center" vertical="center"/>
    </xf>
    <xf numFmtId="174" fontId="8" fillId="0" borderId="1" xfId="0" applyNumberFormat="1" applyFont="1" applyBorder="1" applyAlignment="1">
      <alignment horizontal="center" vertical="center"/>
    </xf>
    <xf numFmtId="174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74" fontId="6" fillId="2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top"/>
    </xf>
    <xf numFmtId="0" fontId="6" fillId="4" borderId="1" xfId="0" quotePrefix="1" applyFont="1" applyFill="1" applyBorder="1" applyAlignment="1">
      <alignment horizontal="center" vertical="center" wrapText="1"/>
    </xf>
    <xf numFmtId="167" fontId="6" fillId="4" borderId="1" xfId="1" applyNumberFormat="1" applyFont="1" applyFill="1" applyBorder="1" applyAlignment="1">
      <alignment horizontal="right" vertical="center"/>
    </xf>
    <xf numFmtId="166" fontId="6" fillId="4" borderId="1" xfId="1" applyNumberFormat="1" applyFont="1" applyFill="1" applyBorder="1" applyAlignment="1">
      <alignment horizontal="center" vertical="center"/>
    </xf>
    <xf numFmtId="0" fontId="6" fillId="4" borderId="1" xfId="0" applyFont="1" applyFill="1" applyBorder="1"/>
    <xf numFmtId="167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167" fontId="6" fillId="4" borderId="1" xfId="1" applyNumberFormat="1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vertical="center"/>
    </xf>
    <xf numFmtId="174" fontId="8" fillId="2" borderId="1" xfId="0" applyNumberFormat="1" applyFont="1" applyFill="1" applyBorder="1" applyAlignment="1">
      <alignment horizontal="center" vertical="center"/>
    </xf>
    <xf numFmtId="0" fontId="6" fillId="2" borderId="1" xfId="7" applyFont="1" applyFill="1" applyBorder="1" applyAlignment="1">
      <alignment horizontal="right" vertical="center"/>
    </xf>
    <xf numFmtId="41" fontId="6" fillId="2" borderId="1" xfId="6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10" fillId="2" borderId="0" xfId="0" applyFont="1" applyFill="1"/>
    <xf numFmtId="41" fontId="6" fillId="2" borderId="1" xfId="6" applyFont="1" applyFill="1" applyBorder="1"/>
    <xf numFmtId="0" fontId="8" fillId="2" borderId="1" xfId="0" quotePrefix="1" applyFont="1" applyFill="1" applyBorder="1" applyAlignment="1">
      <alignment vertical="center" wrapText="1"/>
    </xf>
    <xf numFmtId="41" fontId="8" fillId="2" borderId="1" xfId="6" applyFont="1" applyFill="1" applyBorder="1" applyAlignment="1">
      <alignment horizontal="center" vertical="center"/>
    </xf>
    <xf numFmtId="173" fontId="6" fillId="2" borderId="1" xfId="0" applyNumberFormat="1" applyFont="1" applyFill="1" applyBorder="1" applyAlignment="1">
      <alignment vertical="center"/>
    </xf>
    <xf numFmtId="1" fontId="6" fillId="2" borderId="1" xfId="0" applyNumberFormat="1" applyFont="1" applyFill="1" applyBorder="1" applyAlignment="1">
      <alignment vertical="center"/>
    </xf>
    <xf numFmtId="41" fontId="6" fillId="2" borderId="0" xfId="6" applyFont="1" applyFill="1"/>
    <xf numFmtId="10" fontId="6" fillId="0" borderId="1" xfId="8" applyNumberFormat="1" applyFont="1" applyBorder="1" applyAlignment="1">
      <alignment horizontal="center" vertical="center"/>
    </xf>
    <xf numFmtId="0" fontId="6" fillId="0" borderId="1" xfId="0" applyFont="1" applyFill="1" applyBorder="1"/>
    <xf numFmtId="41" fontId="6" fillId="0" borderId="1" xfId="6" applyFont="1" applyFill="1" applyBorder="1"/>
    <xf numFmtId="0" fontId="8" fillId="0" borderId="1" xfId="0" applyFont="1" applyFill="1" applyBorder="1" applyAlignment="1">
      <alignment vertical="center"/>
    </xf>
    <xf numFmtId="41" fontId="8" fillId="0" borderId="1" xfId="6" applyFont="1" applyFill="1" applyBorder="1" applyAlignment="1">
      <alignment vertical="center"/>
    </xf>
    <xf numFmtId="41" fontId="6" fillId="0" borderId="1" xfId="6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68" fontId="6" fillId="0" borderId="1" xfId="0" applyNumberFormat="1" applyFont="1" applyFill="1" applyBorder="1" applyAlignment="1">
      <alignment vertical="center"/>
    </xf>
    <xf numFmtId="41" fontId="6" fillId="0" borderId="1" xfId="6" applyFont="1" applyFill="1" applyBorder="1" applyAlignment="1">
      <alignment horizontal="center" vertical="center"/>
    </xf>
    <xf numFmtId="169" fontId="6" fillId="0" borderId="1" xfId="6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0" fontId="6" fillId="0" borderId="0" xfId="0" applyFont="1" applyFill="1"/>
    <xf numFmtId="41" fontId="6" fillId="0" borderId="0" xfId="6" applyFont="1" applyFill="1"/>
    <xf numFmtId="0" fontId="9" fillId="2" borderId="1" xfId="0" applyFont="1" applyFill="1" applyBorder="1" applyAlignment="1">
      <alignment horizontal="center" vertical="center" wrapText="1"/>
    </xf>
    <xf numFmtId="164" fontId="6" fillId="2" borderId="1" xfId="6" applyNumberFormat="1" applyFont="1" applyFill="1" applyBorder="1" applyAlignment="1">
      <alignment vertical="center" wrapText="1"/>
    </xf>
    <xf numFmtId="164" fontId="6" fillId="0" borderId="1" xfId="6" applyNumberFormat="1" applyFont="1" applyBorder="1" applyAlignment="1">
      <alignment vertical="center"/>
    </xf>
    <xf numFmtId="0" fontId="9" fillId="2" borderId="1" xfId="0" quotePrefix="1" applyFont="1" applyFill="1" applyBorder="1" applyAlignment="1">
      <alignment vertical="center"/>
    </xf>
    <xf numFmtId="165" fontId="6" fillId="2" borderId="1" xfId="1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41" fontId="8" fillId="2" borderId="1" xfId="6" applyFont="1" applyFill="1" applyBorder="1" applyAlignment="1">
      <alignment horizontal="center" vertical="center" wrapText="1"/>
    </xf>
    <xf numFmtId="41" fontId="8" fillId="0" borderId="1" xfId="6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quotePrefix="1" applyFont="1" applyFill="1" applyBorder="1" applyAlignment="1">
      <alignment horizontal="center" vertical="center" wrapText="1"/>
    </xf>
    <xf numFmtId="171" fontId="6" fillId="2" borderId="1" xfId="1" applyNumberFormat="1" applyFont="1" applyFill="1" applyBorder="1" applyAlignment="1">
      <alignment horizontal="right" vertical="center"/>
    </xf>
    <xf numFmtId="171" fontId="6" fillId="2" borderId="1" xfId="1" applyNumberFormat="1" applyFont="1" applyFill="1" applyBorder="1" applyAlignment="1">
      <alignment vertical="center"/>
    </xf>
    <xf numFmtId="169" fontId="17" fillId="2" borderId="1" xfId="0" applyNumberFormat="1" applyFont="1" applyFill="1" applyBorder="1"/>
    <xf numFmtId="164" fontId="17" fillId="2" borderId="1" xfId="0" applyNumberFormat="1" applyFont="1" applyFill="1" applyBorder="1"/>
    <xf numFmtId="164" fontId="6" fillId="0" borderId="0" xfId="0" applyNumberFormat="1" applyFont="1"/>
    <xf numFmtId="168" fontId="6" fillId="2" borderId="0" xfId="0" applyNumberFormat="1" applyFont="1" applyFill="1"/>
    <xf numFmtId="0" fontId="6" fillId="0" borderId="1" xfId="0" applyFont="1" applyFill="1" applyBorder="1" applyAlignment="1">
      <alignment horizontal="right" vertical="center"/>
    </xf>
    <xf numFmtId="167" fontId="6" fillId="0" borderId="1" xfId="1" applyNumberFormat="1" applyFont="1" applyFill="1" applyBorder="1" applyAlignment="1">
      <alignment horizontal="right" vertical="center"/>
    </xf>
    <xf numFmtId="166" fontId="6" fillId="2" borderId="1" xfId="0" applyNumberFormat="1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41" fontId="8" fillId="2" borderId="1" xfId="6" applyFont="1" applyFill="1" applyBorder="1" applyAlignment="1">
      <alignment horizontal="center" vertical="center" wrapText="1"/>
    </xf>
    <xf numFmtId="41" fontId="8" fillId="0" borderId="1" xfId="6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6" fillId="2" borderId="0" xfId="0" applyNumberFormat="1" applyFont="1" applyFill="1"/>
    <xf numFmtId="169" fontId="7" fillId="2" borderId="0" xfId="6" applyNumberFormat="1" applyFont="1" applyFill="1" applyAlignment="1"/>
    <xf numFmtId="169" fontId="6" fillId="2" borderId="0" xfId="6" applyNumberFormat="1" applyFont="1" applyFill="1"/>
    <xf numFmtId="41" fontId="8" fillId="2" borderId="0" xfId="6" applyFont="1" applyFill="1"/>
    <xf numFmtId="0" fontId="8" fillId="2" borderId="0" xfId="0" applyFont="1" applyFill="1"/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17" fillId="0" borderId="1" xfId="2" applyFont="1" applyFill="1" applyBorder="1" applyAlignment="1">
      <alignment horizontal="center" vertical="center" wrapText="1"/>
    </xf>
    <xf numFmtId="167" fontId="17" fillId="0" borderId="1" xfId="1" applyNumberFormat="1" applyFont="1" applyBorder="1" applyAlignment="1">
      <alignment vertical="center"/>
    </xf>
    <xf numFmtId="169" fontId="17" fillId="0" borderId="1" xfId="6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vertical="center"/>
    </xf>
    <xf numFmtId="167" fontId="17" fillId="2" borderId="1" xfId="1" applyNumberFormat="1" applyFont="1" applyFill="1" applyBorder="1" applyAlignment="1">
      <alignment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41" fontId="6" fillId="2" borderId="7" xfId="6" applyFont="1" applyFill="1" applyBorder="1" applyAlignment="1">
      <alignment horizontal="right" vertical="center" wrapText="1"/>
    </xf>
    <xf numFmtId="165" fontId="6" fillId="2" borderId="1" xfId="1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167" fontId="18" fillId="2" borderId="1" xfId="1" applyNumberFormat="1" applyFont="1" applyFill="1" applyBorder="1" applyAlignment="1">
      <alignment horizontal="center" vertical="center" wrapText="1"/>
    </xf>
    <xf numFmtId="167" fontId="18" fillId="0" borderId="1" xfId="1" applyNumberFormat="1" applyFont="1" applyBorder="1" applyAlignment="1">
      <alignment vertical="center"/>
    </xf>
    <xf numFmtId="167" fontId="18" fillId="2" borderId="1" xfId="1" applyNumberFormat="1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169" fontId="18" fillId="0" borderId="1" xfId="6" applyNumberFormat="1" applyFont="1" applyBorder="1" applyAlignment="1">
      <alignment vertical="center"/>
    </xf>
    <xf numFmtId="41" fontId="18" fillId="0" borderId="1" xfId="6" applyFont="1" applyBorder="1" applyAlignment="1">
      <alignment vertical="center"/>
    </xf>
    <xf numFmtId="174" fontId="18" fillId="0" borderId="1" xfId="0" applyNumberFormat="1" applyFont="1" applyBorder="1" applyAlignment="1">
      <alignment vertical="center"/>
    </xf>
    <xf numFmtId="174" fontId="18" fillId="0" borderId="1" xfId="0" applyNumberFormat="1" applyFont="1" applyBorder="1" applyAlignment="1">
      <alignment horizontal="center" vertical="center"/>
    </xf>
    <xf numFmtId="164" fontId="18" fillId="0" borderId="1" xfId="6" applyNumberFormat="1" applyFont="1" applyBorder="1" applyAlignment="1">
      <alignment vertical="center"/>
    </xf>
    <xf numFmtId="164" fontId="6" fillId="2" borderId="1" xfId="6" applyNumberFormat="1" applyFont="1" applyFill="1" applyBorder="1" applyAlignment="1">
      <alignment vertical="center"/>
    </xf>
    <xf numFmtId="175" fontId="6" fillId="2" borderId="1" xfId="6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167" fontId="17" fillId="2" borderId="1" xfId="1" applyNumberFormat="1" applyFont="1" applyFill="1" applyBorder="1" applyAlignment="1">
      <alignment horizontal="center" vertical="center"/>
    </xf>
    <xf numFmtId="167" fontId="17" fillId="2" borderId="1" xfId="1" applyNumberFormat="1" applyFont="1" applyFill="1" applyBorder="1" applyAlignment="1">
      <alignment horizontal="right" vertical="center"/>
    </xf>
    <xf numFmtId="164" fontId="17" fillId="2" borderId="1" xfId="6" applyNumberFormat="1" applyFont="1" applyFill="1" applyBorder="1" applyAlignment="1">
      <alignment vertical="center" wrapText="1"/>
    </xf>
    <xf numFmtId="167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/>
    <xf numFmtId="0" fontId="17" fillId="2" borderId="0" xfId="0" applyFont="1" applyFill="1"/>
    <xf numFmtId="0" fontId="17" fillId="2" borderId="1" xfId="0" applyFont="1" applyFill="1" applyBorder="1" applyAlignment="1">
      <alignment horizontal="left" vertical="center" wrapText="1"/>
    </xf>
    <xf numFmtId="0" fontId="20" fillId="2" borderId="1" xfId="0" quotePrefix="1" applyFont="1" applyFill="1" applyBorder="1" applyAlignment="1">
      <alignment horizontal="center" vertical="center" wrapText="1"/>
    </xf>
    <xf numFmtId="41" fontId="17" fillId="2" borderId="1" xfId="6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right" vertical="center" wrapText="1"/>
    </xf>
    <xf numFmtId="41" fontId="17" fillId="2" borderId="1" xfId="0" applyNumberFormat="1" applyFont="1" applyFill="1" applyBorder="1" applyAlignment="1">
      <alignment horizontal="right" vertical="center" wrapText="1"/>
    </xf>
    <xf numFmtId="164" fontId="6" fillId="0" borderId="1" xfId="6" applyNumberFormat="1" applyFont="1" applyFill="1" applyBorder="1" applyAlignment="1">
      <alignment vertical="center"/>
    </xf>
    <xf numFmtId="0" fontId="17" fillId="0" borderId="1" xfId="0" quotePrefix="1" applyFont="1" applyBorder="1" applyAlignment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41" fontId="17" fillId="0" borderId="1" xfId="6" applyNumberFormat="1" applyFont="1" applyBorder="1" applyAlignment="1">
      <alignment vertical="center"/>
    </xf>
    <xf numFmtId="41" fontId="17" fillId="0" borderId="1" xfId="6" applyFont="1" applyBorder="1" applyAlignment="1">
      <alignment vertical="center"/>
    </xf>
    <xf numFmtId="174" fontId="17" fillId="0" borderId="1" xfId="0" applyNumberFormat="1" applyFont="1" applyBorder="1" applyAlignment="1">
      <alignment vertical="center"/>
    </xf>
    <xf numFmtId="174" fontId="17" fillId="0" borderId="1" xfId="0" applyNumberFormat="1" applyFont="1" applyBorder="1" applyAlignment="1">
      <alignment horizontal="center" vertical="center"/>
    </xf>
    <xf numFmtId="167" fontId="17" fillId="2" borderId="1" xfId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1" fillId="0" borderId="1" xfId="0" quotePrefix="1" applyFont="1" applyBorder="1" applyAlignment="1">
      <alignment vertical="center"/>
    </xf>
    <xf numFmtId="166" fontId="17" fillId="0" borderId="1" xfId="1" applyNumberFormat="1" applyFont="1" applyBorder="1" applyAlignment="1">
      <alignment vertical="center"/>
    </xf>
    <xf numFmtId="169" fontId="17" fillId="0" borderId="1" xfId="6" applyNumberFormat="1" applyFont="1" applyBorder="1" applyAlignment="1">
      <alignment vertical="center"/>
    </xf>
    <xf numFmtId="164" fontId="17" fillId="2" borderId="1" xfId="6" applyNumberFormat="1" applyFont="1" applyFill="1" applyBorder="1" applyAlignment="1">
      <alignment vertical="center"/>
    </xf>
    <xf numFmtId="41" fontId="17" fillId="2" borderId="1" xfId="6" applyNumberFormat="1" applyFont="1" applyFill="1" applyBorder="1" applyAlignment="1">
      <alignment vertical="center"/>
    </xf>
    <xf numFmtId="0" fontId="21" fillId="2" borderId="1" xfId="0" quotePrefix="1" applyFont="1" applyFill="1" applyBorder="1" applyAlignment="1">
      <alignment vertical="center"/>
    </xf>
    <xf numFmtId="166" fontId="17" fillId="2" borderId="1" xfId="1" applyNumberFormat="1" applyFont="1" applyFill="1" applyBorder="1" applyAlignment="1">
      <alignment vertical="center"/>
    </xf>
    <xf numFmtId="169" fontId="17" fillId="2" borderId="1" xfId="6" applyNumberFormat="1" applyFont="1" applyFill="1" applyBorder="1" applyAlignment="1">
      <alignment vertical="center"/>
    </xf>
    <xf numFmtId="174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41" fontId="17" fillId="2" borderId="1" xfId="6" applyFont="1" applyFill="1" applyBorder="1" applyAlignment="1">
      <alignment vertical="center"/>
    </xf>
    <xf numFmtId="174" fontId="17" fillId="2" borderId="1" xfId="0" applyNumberFormat="1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8" fontId="17" fillId="0" borderId="1" xfId="0" applyNumberFormat="1" applyFont="1" applyBorder="1" applyAlignment="1">
      <alignment vertical="center"/>
    </xf>
    <xf numFmtId="165" fontId="8" fillId="2" borderId="1" xfId="1" applyNumberFormat="1" applyFont="1" applyFill="1" applyBorder="1" applyAlignment="1">
      <alignment vertical="center"/>
    </xf>
    <xf numFmtId="0" fontId="17" fillId="2" borderId="1" xfId="0" quotePrefix="1" applyFont="1" applyFill="1" applyBorder="1" applyAlignment="1">
      <alignment vertical="center" wrapText="1"/>
    </xf>
    <xf numFmtId="0" fontId="17" fillId="2" borderId="1" xfId="0" quotePrefix="1" applyFont="1" applyFill="1" applyBorder="1" applyAlignment="1">
      <alignment vertical="center"/>
    </xf>
    <xf numFmtId="164" fontId="6" fillId="2" borderId="1" xfId="1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1" fontId="18" fillId="2" borderId="1" xfId="0" applyNumberFormat="1" applyFont="1" applyFill="1" applyBorder="1" applyAlignment="1">
      <alignment vertical="center"/>
    </xf>
    <xf numFmtId="167" fontId="18" fillId="2" borderId="1" xfId="1" applyNumberFormat="1" applyFont="1" applyFill="1" applyBorder="1" applyAlignment="1">
      <alignment horizontal="right" vertical="center"/>
    </xf>
    <xf numFmtId="167" fontId="18" fillId="0" borderId="1" xfId="1" applyNumberFormat="1" applyFont="1" applyFill="1" applyBorder="1" applyAlignment="1">
      <alignment horizontal="right" vertical="center"/>
    </xf>
    <xf numFmtId="1" fontId="18" fillId="2" borderId="1" xfId="0" applyNumberFormat="1" applyFont="1" applyFill="1" applyBorder="1" applyAlignment="1">
      <alignment horizontal="right" vertical="center"/>
    </xf>
    <xf numFmtId="41" fontId="18" fillId="2" borderId="1" xfId="6" applyFont="1" applyFill="1" applyBorder="1" applyAlignment="1">
      <alignment vertical="center"/>
    </xf>
    <xf numFmtId="0" fontId="10" fillId="2" borderId="1" xfId="0" applyFont="1" applyFill="1" applyBorder="1"/>
    <xf numFmtId="0" fontId="22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66" fontId="17" fillId="2" borderId="1" xfId="1" quotePrefix="1" applyNumberFormat="1" applyFont="1" applyFill="1" applyBorder="1" applyAlignment="1">
      <alignment horizontal="left" vertical="center" wrapText="1"/>
    </xf>
    <xf numFmtId="1" fontId="17" fillId="2" borderId="1" xfId="0" applyNumberFormat="1" applyFont="1" applyFill="1" applyBorder="1" applyAlignment="1">
      <alignment horizontal="right" vertical="center"/>
    </xf>
    <xf numFmtId="41" fontId="17" fillId="0" borderId="1" xfId="6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right" vertical="center"/>
    </xf>
    <xf numFmtId="167" fontId="17" fillId="0" borderId="1" xfId="1" applyNumberFormat="1" applyFont="1" applyFill="1" applyBorder="1" applyAlignment="1">
      <alignment horizontal="right" vertical="center"/>
    </xf>
    <xf numFmtId="41" fontId="17" fillId="0" borderId="1" xfId="6" applyFont="1" applyFill="1" applyBorder="1" applyAlignment="1">
      <alignment horizontal="center" vertical="center"/>
    </xf>
    <xf numFmtId="168" fontId="8" fillId="0" borderId="3" xfId="0" applyNumberFormat="1" applyFont="1" applyBorder="1" applyAlignment="1">
      <alignment horizontal="right" vertical="center" wrapText="1"/>
    </xf>
    <xf numFmtId="169" fontId="8" fillId="0" borderId="3" xfId="6" applyNumberFormat="1" applyFont="1" applyBorder="1" applyAlignment="1">
      <alignment horizontal="right" vertical="center" wrapText="1"/>
    </xf>
    <xf numFmtId="169" fontId="8" fillId="2" borderId="3" xfId="6" applyNumberFormat="1" applyFont="1" applyFill="1" applyBorder="1" applyAlignment="1">
      <alignment horizontal="right" vertical="center" wrapText="1"/>
    </xf>
    <xf numFmtId="172" fontId="8" fillId="0" borderId="1" xfId="0" applyNumberFormat="1" applyFont="1" applyBorder="1" applyAlignment="1">
      <alignment horizontal="right" vertical="center"/>
    </xf>
    <xf numFmtId="169" fontId="8" fillId="2" borderId="1" xfId="6" applyNumberFormat="1" applyFont="1" applyFill="1" applyBorder="1" applyAlignment="1">
      <alignment horizontal="right" vertical="center"/>
    </xf>
    <xf numFmtId="169" fontId="8" fillId="0" borderId="1" xfId="6" applyNumberFormat="1" applyFont="1" applyBorder="1" applyAlignment="1">
      <alignment horizontal="right" vertical="center"/>
    </xf>
    <xf numFmtId="174" fontId="8" fillId="0" borderId="1" xfId="0" applyNumberFormat="1" applyFont="1" applyBorder="1" applyAlignment="1">
      <alignment horizontal="right" vertical="center"/>
    </xf>
    <xf numFmtId="0" fontId="8" fillId="2" borderId="1" xfId="0" quotePrefix="1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76" fontId="24" fillId="0" borderId="1" xfId="1" applyNumberFormat="1" applyFont="1" applyBorder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/>
    </xf>
    <xf numFmtId="0" fontId="24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24" fillId="0" borderId="1" xfId="1" applyNumberFormat="1" applyFont="1" applyBorder="1" applyAlignment="1">
      <alignment horizontal="right" vertical="center"/>
    </xf>
    <xf numFmtId="0" fontId="23" fillId="4" borderId="1" xfId="0" applyFont="1" applyFill="1" applyBorder="1" applyAlignment="1">
      <alignment horizontal="center" vertical="center"/>
    </xf>
    <xf numFmtId="176" fontId="24" fillId="4" borderId="1" xfId="1" applyNumberFormat="1" applyFont="1" applyFill="1" applyBorder="1" applyAlignment="1">
      <alignment horizontal="center" vertical="center"/>
    </xf>
    <xf numFmtId="176" fontId="24" fillId="4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right" vertical="center"/>
    </xf>
    <xf numFmtId="0" fontId="17" fillId="2" borderId="1" xfId="0" quotePrefix="1" applyFont="1" applyFill="1" applyBorder="1" applyAlignment="1">
      <alignment horizontal="left" vertical="center" wrapText="1"/>
    </xf>
    <xf numFmtId="166" fontId="17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1" fontId="8" fillId="2" borderId="1" xfId="6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41" fontId="8" fillId="0" borderId="4" xfId="6" applyFont="1" applyFill="1" applyBorder="1" applyAlignment="1">
      <alignment horizontal="center" vertical="center" wrapText="1"/>
    </xf>
    <xf numFmtId="41" fontId="8" fillId="0" borderId="5" xfId="6" applyFont="1" applyFill="1" applyBorder="1" applyAlignment="1">
      <alignment horizontal="center" vertical="center" wrapText="1"/>
    </xf>
    <xf numFmtId="41" fontId="8" fillId="0" borderId="6" xfId="6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right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9" fontId="8" fillId="0" borderId="1" xfId="6" applyNumberFormat="1" applyFont="1" applyFill="1" applyBorder="1" applyAlignment="1">
      <alignment horizontal="center" vertical="center" wrapText="1"/>
    </xf>
    <xf numFmtId="41" fontId="8" fillId="0" borderId="1" xfId="6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</cellXfs>
  <cellStyles count="9">
    <cellStyle name="Bình thường 2 2" xfId="4"/>
    <cellStyle name="Bình thường 3 2" xfId="5"/>
    <cellStyle name="Comma" xfId="1" builtinId="3"/>
    <cellStyle name="Comma [0]" xfId="6" builtinId="6"/>
    <cellStyle name="Normal" xfId="0" builtinId="0"/>
    <cellStyle name="Normal - Style1 2 3" xfId="7"/>
    <cellStyle name="Normal 17" xfId="3"/>
    <cellStyle name="Normal 2 2 7" xfId="2"/>
    <cellStyle name="Percent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50</xdr:row>
      <xdr:rowOff>0</xdr:rowOff>
    </xdr:from>
    <xdr:to>
      <xdr:col>2</xdr:col>
      <xdr:colOff>142875</xdr:colOff>
      <xdr:row>50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52950" y="1934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51</xdr:row>
      <xdr:rowOff>0</xdr:rowOff>
    </xdr:from>
    <xdr:to>
      <xdr:col>2</xdr:col>
      <xdr:colOff>142875</xdr:colOff>
      <xdr:row>51</xdr:row>
      <xdr:rowOff>209550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52950" y="19831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51</xdr:row>
      <xdr:rowOff>0</xdr:rowOff>
    </xdr:from>
    <xdr:to>
      <xdr:col>2</xdr:col>
      <xdr:colOff>142875</xdr:colOff>
      <xdr:row>51</xdr:row>
      <xdr:rowOff>209550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552950" y="19831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51</xdr:row>
      <xdr:rowOff>0</xdr:rowOff>
    </xdr:from>
    <xdr:to>
      <xdr:col>2</xdr:col>
      <xdr:colOff>142875</xdr:colOff>
      <xdr:row>51</xdr:row>
      <xdr:rowOff>209550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552950" y="19831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15</xdr:row>
      <xdr:rowOff>0</xdr:rowOff>
    </xdr:from>
    <xdr:to>
      <xdr:col>2</xdr:col>
      <xdr:colOff>142875</xdr:colOff>
      <xdr:row>15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228975" y="30803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15</xdr:row>
      <xdr:rowOff>0</xdr:rowOff>
    </xdr:from>
    <xdr:to>
      <xdr:col>2</xdr:col>
      <xdr:colOff>142875</xdr:colOff>
      <xdr:row>15</xdr:row>
      <xdr:rowOff>209550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228975" y="3143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15</xdr:row>
      <xdr:rowOff>0</xdr:rowOff>
    </xdr:from>
    <xdr:to>
      <xdr:col>2</xdr:col>
      <xdr:colOff>142875</xdr:colOff>
      <xdr:row>15</xdr:row>
      <xdr:rowOff>209550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228975" y="3143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15</xdr:row>
      <xdr:rowOff>0</xdr:rowOff>
    </xdr:from>
    <xdr:to>
      <xdr:col>2</xdr:col>
      <xdr:colOff>142875</xdr:colOff>
      <xdr:row>15</xdr:row>
      <xdr:rowOff>209550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228975" y="3143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T43"/>
  <sheetViews>
    <sheetView topLeftCell="A4" zoomScale="85" zoomScaleNormal="85" workbookViewId="0">
      <selection activeCell="K7" sqref="K7"/>
    </sheetView>
  </sheetViews>
  <sheetFormatPr defaultColWidth="9.140625" defaultRowHeight="18.75" x14ac:dyDescent="0.3"/>
  <cols>
    <col min="1" max="1" width="9.140625" style="93"/>
    <col min="2" max="2" width="40" style="216" customWidth="1"/>
    <col min="3" max="3" width="15.140625" style="93" customWidth="1"/>
    <col min="4" max="4" width="14.28515625" style="93" customWidth="1"/>
    <col min="5" max="5" width="14.42578125" style="93" hidden="1" customWidth="1"/>
    <col min="6" max="6" width="14.28515625" style="93" customWidth="1"/>
    <col min="7" max="8" width="13.42578125" style="93" customWidth="1"/>
    <col min="9" max="9" width="12.7109375" style="93" customWidth="1"/>
    <col min="10" max="10" width="12.7109375" style="235" customWidth="1"/>
    <col min="11" max="11" width="12.42578125" style="235" customWidth="1"/>
    <col min="12" max="14" width="12.7109375" style="235" customWidth="1"/>
    <col min="15" max="15" width="15.5703125" style="236" customWidth="1"/>
    <col min="16" max="16" width="14.28515625" style="236" customWidth="1"/>
    <col min="17" max="17" width="15.28515625" style="236" customWidth="1"/>
    <col min="18" max="18" width="14.28515625" style="236" hidden="1" customWidth="1"/>
    <col min="19" max="19" width="14.28515625" style="223" hidden="1" customWidth="1"/>
    <col min="20" max="20" width="14.28515625" style="217" customWidth="1"/>
    <col min="21" max="16384" width="9.140625" style="93"/>
  </cols>
  <sheetData>
    <row r="1" spans="1:20" ht="23.25" customHeight="1" x14ac:dyDescent="0.3">
      <c r="H1" s="382" t="s">
        <v>0</v>
      </c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</row>
    <row r="2" spans="1:20" s="146" customFormat="1" ht="24" customHeight="1" x14ac:dyDescent="0.25">
      <c r="A2" s="380" t="s">
        <v>330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</row>
    <row r="3" spans="1:20" ht="34.5" customHeight="1" x14ac:dyDescent="0.3">
      <c r="A3" s="381" t="s">
        <v>304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</row>
    <row r="5" spans="1:20" ht="46.5" customHeight="1" x14ac:dyDescent="0.3">
      <c r="A5" s="375" t="s">
        <v>313</v>
      </c>
      <c r="B5" s="375" t="s">
        <v>312</v>
      </c>
      <c r="C5" s="375" t="s">
        <v>311</v>
      </c>
      <c r="D5" s="375" t="s">
        <v>315</v>
      </c>
      <c r="E5" s="375" t="s">
        <v>321</v>
      </c>
      <c r="F5" s="375" t="s">
        <v>320</v>
      </c>
      <c r="G5" s="375" t="s">
        <v>310</v>
      </c>
      <c r="H5" s="375" t="s">
        <v>309</v>
      </c>
      <c r="I5" s="386" t="s">
        <v>343</v>
      </c>
      <c r="J5" s="386"/>
      <c r="K5" s="377" t="s">
        <v>356</v>
      </c>
      <c r="L5" s="377" t="s">
        <v>352</v>
      </c>
      <c r="M5" s="377" t="s">
        <v>353</v>
      </c>
      <c r="N5" s="377" t="s">
        <v>349</v>
      </c>
      <c r="O5" s="383" t="s">
        <v>308</v>
      </c>
      <c r="P5" s="384"/>
      <c r="Q5" s="385"/>
      <c r="R5" s="379" t="s">
        <v>336</v>
      </c>
      <c r="S5" s="379"/>
      <c r="T5" s="375" t="s">
        <v>314</v>
      </c>
    </row>
    <row r="6" spans="1:20" ht="154.5" customHeight="1" x14ac:dyDescent="0.3">
      <c r="A6" s="376"/>
      <c r="B6" s="376"/>
      <c r="C6" s="376"/>
      <c r="D6" s="376"/>
      <c r="E6" s="376"/>
      <c r="F6" s="376"/>
      <c r="G6" s="376"/>
      <c r="H6" s="376"/>
      <c r="I6" s="242" t="s">
        <v>342</v>
      </c>
      <c r="J6" s="245" t="s">
        <v>340</v>
      </c>
      <c r="K6" s="378"/>
      <c r="L6" s="378"/>
      <c r="M6" s="378"/>
      <c r="N6" s="378"/>
      <c r="O6" s="244" t="s">
        <v>354</v>
      </c>
      <c r="P6" s="244" t="s">
        <v>357</v>
      </c>
      <c r="Q6" s="244" t="s">
        <v>358</v>
      </c>
      <c r="R6" s="244" t="s">
        <v>337</v>
      </c>
      <c r="S6" s="243" t="s">
        <v>338</v>
      </c>
      <c r="T6" s="376"/>
    </row>
    <row r="7" spans="1:20" s="217" customFormat="1" ht="24" customHeight="1" x14ac:dyDescent="0.25">
      <c r="A7" s="94">
        <v>1</v>
      </c>
      <c r="B7" s="94">
        <v>2</v>
      </c>
      <c r="C7" s="94">
        <v>3</v>
      </c>
      <c r="D7" s="94">
        <v>4</v>
      </c>
      <c r="E7" s="94"/>
      <c r="F7" s="94">
        <v>5</v>
      </c>
      <c r="G7" s="94">
        <v>6</v>
      </c>
      <c r="H7" s="94">
        <v>7</v>
      </c>
      <c r="I7" s="9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145" t="s">
        <v>359</v>
      </c>
      <c r="P7" s="145" t="s">
        <v>360</v>
      </c>
      <c r="Q7" s="145" t="s">
        <v>355</v>
      </c>
      <c r="R7" s="4">
        <v>17</v>
      </c>
      <c r="S7" s="94">
        <v>18</v>
      </c>
      <c r="T7" s="94">
        <v>19</v>
      </c>
    </row>
    <row r="8" spans="1:20" ht="48" customHeight="1" x14ac:dyDescent="0.3">
      <c r="A8" s="89" t="s">
        <v>1</v>
      </c>
      <c r="B8" s="11" t="s">
        <v>2</v>
      </c>
      <c r="C8" s="95"/>
      <c r="D8" s="95"/>
      <c r="E8" s="95"/>
      <c r="F8" s="95"/>
      <c r="G8" s="95"/>
      <c r="H8" s="95"/>
      <c r="I8" s="95"/>
      <c r="J8" s="225"/>
      <c r="K8" s="225"/>
      <c r="L8" s="225"/>
      <c r="M8" s="225"/>
      <c r="N8" s="225"/>
      <c r="O8" s="226"/>
      <c r="P8" s="226"/>
      <c r="Q8" s="226"/>
      <c r="R8" s="226"/>
      <c r="S8" s="218"/>
      <c r="T8" s="342"/>
    </row>
    <row r="9" spans="1:20" s="139" customFormat="1" ht="62.25" customHeight="1" x14ac:dyDescent="0.25">
      <c r="A9" s="89">
        <v>1</v>
      </c>
      <c r="B9" s="219" t="s">
        <v>4</v>
      </c>
      <c r="C9" s="89" t="s">
        <v>38</v>
      </c>
      <c r="D9" s="98">
        <v>51.5</v>
      </c>
      <c r="E9" s="96">
        <v>65</v>
      </c>
      <c r="F9" s="96">
        <v>65</v>
      </c>
      <c r="G9" s="98">
        <v>53</v>
      </c>
      <c r="H9" s="98">
        <v>56</v>
      </c>
      <c r="I9" s="98"/>
      <c r="J9" s="227">
        <v>59</v>
      </c>
      <c r="K9" s="227">
        <v>59</v>
      </c>
      <c r="L9" s="227">
        <v>62</v>
      </c>
      <c r="M9" s="227">
        <v>65</v>
      </c>
      <c r="N9" s="227">
        <v>65</v>
      </c>
      <c r="O9" s="97">
        <f>K9/D9%</f>
        <v>114.5631067961165</v>
      </c>
      <c r="P9" s="97">
        <f>+K9/F9%</f>
        <v>90.769230769230759</v>
      </c>
      <c r="Q9" s="97">
        <f>N9/F9%</f>
        <v>100</v>
      </c>
      <c r="R9" s="228"/>
      <c r="S9" s="220" t="s">
        <v>339</v>
      </c>
      <c r="T9" s="177" t="s">
        <v>351</v>
      </c>
    </row>
    <row r="10" spans="1:20" s="139" customFormat="1" ht="62.25" customHeight="1" x14ac:dyDescent="0.25">
      <c r="A10" s="89">
        <v>2</v>
      </c>
      <c r="B10" s="11" t="s">
        <v>6</v>
      </c>
      <c r="C10" s="89" t="s">
        <v>38</v>
      </c>
      <c r="D10" s="98">
        <v>92.7</v>
      </c>
      <c r="E10" s="97">
        <v>134.62</v>
      </c>
      <c r="F10" s="97">
        <v>134.62</v>
      </c>
      <c r="G10" s="98">
        <v>98.5</v>
      </c>
      <c r="H10" s="98">
        <v>103.4</v>
      </c>
      <c r="I10" s="98"/>
      <c r="J10" s="227">
        <f>'2. NN-LN-TS'!J10</f>
        <v>108</v>
      </c>
      <c r="K10" s="227">
        <v>108</v>
      </c>
      <c r="L10" s="227">
        <f>'2. NN-LN-TS'!L10</f>
        <v>125</v>
      </c>
      <c r="M10" s="227">
        <f>'2. NN-LN-TS'!M10</f>
        <v>135</v>
      </c>
      <c r="N10" s="227">
        <v>135</v>
      </c>
      <c r="O10" s="97">
        <f t="shared" ref="O10:O42" si="0">K10/D10%</f>
        <v>116.50485436893203</v>
      </c>
      <c r="P10" s="97">
        <f t="shared" ref="P10:P42" si="1">+K10/F10%</f>
        <v>80.225820829000142</v>
      </c>
      <c r="Q10" s="97">
        <f t="shared" ref="Q10:Q42" si="2">N10/F10%</f>
        <v>100.28227603625018</v>
      </c>
      <c r="R10" s="228"/>
      <c r="S10" s="220" t="s">
        <v>339</v>
      </c>
      <c r="T10" s="177" t="s">
        <v>351</v>
      </c>
    </row>
    <row r="11" spans="1:20" s="326" customFormat="1" ht="62.25" customHeight="1" x14ac:dyDescent="0.25">
      <c r="A11" s="335">
        <v>3</v>
      </c>
      <c r="B11" s="336" t="s">
        <v>5</v>
      </c>
      <c r="C11" s="335" t="s">
        <v>39</v>
      </c>
      <c r="D11" s="337">
        <v>197.58</v>
      </c>
      <c r="E11" s="338">
        <v>300</v>
      </c>
      <c r="F11" s="338">
        <v>1206</v>
      </c>
      <c r="G11" s="338">
        <v>197.00800000000001</v>
      </c>
      <c r="H11" s="338">
        <v>116.774</v>
      </c>
      <c r="I11" s="338">
        <v>45.878</v>
      </c>
      <c r="J11" s="338">
        <v>207</v>
      </c>
      <c r="K11" s="338">
        <f>G11+H11+I11</f>
        <v>359.66</v>
      </c>
      <c r="L11" s="338">
        <f>250</f>
        <v>250</v>
      </c>
      <c r="M11" s="339">
        <f>300</f>
        <v>300</v>
      </c>
      <c r="N11" s="339">
        <f>G11+H11+J11+L11+M11</f>
        <v>1070.7820000000002</v>
      </c>
      <c r="O11" s="340">
        <f t="shared" si="0"/>
        <v>182.03259439214494</v>
      </c>
      <c r="P11" s="340">
        <f>+K11/F11%</f>
        <v>29.822553897180764</v>
      </c>
      <c r="Q11" s="340">
        <f t="shared" si="2"/>
        <v>88.78789386401327</v>
      </c>
      <c r="R11" s="338"/>
      <c r="S11" s="341"/>
      <c r="T11" s="343"/>
    </row>
    <row r="12" spans="1:20" s="139" customFormat="1" ht="43.5" customHeight="1" x14ac:dyDescent="0.25">
      <c r="A12" s="89" t="s">
        <v>17</v>
      </c>
      <c r="B12" s="219" t="s">
        <v>18</v>
      </c>
      <c r="C12" s="98"/>
      <c r="D12" s="98"/>
      <c r="E12" s="98"/>
      <c r="F12" s="98"/>
      <c r="G12" s="98"/>
      <c r="H12" s="98"/>
      <c r="I12" s="98"/>
      <c r="J12" s="227"/>
      <c r="K12" s="227"/>
      <c r="L12" s="227"/>
      <c r="M12" s="227"/>
      <c r="N12" s="227"/>
      <c r="O12" s="97"/>
      <c r="P12" s="97"/>
      <c r="Q12" s="97"/>
      <c r="R12" s="229"/>
      <c r="S12" s="111"/>
      <c r="T12" s="344"/>
    </row>
    <row r="13" spans="1:20" s="139" customFormat="1" ht="47.25" customHeight="1" x14ac:dyDescent="0.25">
      <c r="A13" s="89">
        <v>4</v>
      </c>
      <c r="B13" s="98" t="s">
        <v>19</v>
      </c>
      <c r="C13" s="98"/>
      <c r="D13" s="98"/>
      <c r="E13" s="96"/>
      <c r="F13" s="96"/>
      <c r="G13" s="98"/>
      <c r="H13" s="98"/>
      <c r="I13" s="98"/>
      <c r="J13" s="227"/>
      <c r="K13" s="227"/>
      <c r="L13" s="227"/>
      <c r="M13" s="227"/>
      <c r="N13" s="227"/>
      <c r="O13" s="97"/>
      <c r="P13" s="97"/>
      <c r="Q13" s="97"/>
      <c r="R13" s="229"/>
      <c r="S13" s="111"/>
      <c r="T13" s="344"/>
    </row>
    <row r="14" spans="1:20" s="146" customFormat="1" ht="54" customHeight="1" x14ac:dyDescent="0.25">
      <c r="A14" s="22"/>
      <c r="B14" s="116" t="s">
        <v>326</v>
      </c>
      <c r="C14" s="22" t="s">
        <v>33</v>
      </c>
      <c r="D14" s="100"/>
      <c r="E14" s="99">
        <v>95</v>
      </c>
      <c r="F14" s="99">
        <v>95</v>
      </c>
      <c r="G14" s="100"/>
      <c r="H14" s="99">
        <v>42</v>
      </c>
      <c r="I14" s="100"/>
      <c r="J14" s="230">
        <v>50</v>
      </c>
      <c r="K14" s="230">
        <v>50</v>
      </c>
      <c r="L14" s="230">
        <v>60</v>
      </c>
      <c r="M14" s="230">
        <v>70</v>
      </c>
      <c r="N14" s="230">
        <v>70</v>
      </c>
      <c r="O14" s="142"/>
      <c r="P14" s="142">
        <f t="shared" si="1"/>
        <v>52.631578947368425</v>
      </c>
      <c r="Q14" s="142">
        <f t="shared" si="2"/>
        <v>73.684210526315795</v>
      </c>
      <c r="R14" s="229"/>
      <c r="S14" s="111"/>
      <c r="T14" s="177" t="s">
        <v>351</v>
      </c>
    </row>
    <row r="15" spans="1:20" s="139" customFormat="1" ht="51.75" customHeight="1" x14ac:dyDescent="0.25">
      <c r="A15" s="22"/>
      <c r="B15" s="15" t="s">
        <v>26</v>
      </c>
      <c r="C15" s="16" t="s">
        <v>45</v>
      </c>
      <c r="D15" s="100">
        <v>12.9</v>
      </c>
      <c r="E15" s="99">
        <v>9.5</v>
      </c>
      <c r="F15" s="99">
        <v>9.5</v>
      </c>
      <c r="G15" s="100">
        <v>11.6</v>
      </c>
      <c r="H15" s="100">
        <v>9.0299999999999994</v>
      </c>
      <c r="I15" s="221"/>
      <c r="J15" s="230">
        <f>'6. DSYT'!J14</f>
        <v>10.78</v>
      </c>
      <c r="K15" s="230">
        <v>10.78</v>
      </c>
      <c r="L15" s="230">
        <f>'6. DSYT'!L14</f>
        <v>10.65</v>
      </c>
      <c r="M15" s="230">
        <f>'6. DSYT'!M14</f>
        <v>10.5</v>
      </c>
      <c r="N15" s="254">
        <f>M15</f>
        <v>10.5</v>
      </c>
      <c r="O15" s="142">
        <f>D15/K15%</f>
        <v>119.66604823747682</v>
      </c>
      <c r="P15" s="142">
        <f>F15/K15%</f>
        <v>88.126159554730989</v>
      </c>
      <c r="Q15" s="142">
        <f>F15/N15%</f>
        <v>90.476190476190482</v>
      </c>
      <c r="R15" s="229"/>
      <c r="S15" s="111"/>
      <c r="T15" s="177" t="s">
        <v>351</v>
      </c>
    </row>
    <row r="16" spans="1:20" s="139" customFormat="1" ht="51.75" customHeight="1" x14ac:dyDescent="0.25">
      <c r="A16" s="22"/>
      <c r="B16" s="15" t="s">
        <v>27</v>
      </c>
      <c r="C16" s="22" t="s">
        <v>33</v>
      </c>
      <c r="D16" s="100">
        <v>11.2</v>
      </c>
      <c r="E16" s="99" t="s">
        <v>294</v>
      </c>
      <c r="F16" s="99" t="s">
        <v>294</v>
      </c>
      <c r="G16" s="100">
        <v>10.7</v>
      </c>
      <c r="H16" s="176">
        <v>10.1</v>
      </c>
      <c r="I16" s="176">
        <f>'6. DSYT'!I23</f>
        <v>9.6999999999999993</v>
      </c>
      <c r="J16" s="231">
        <f>'6. DSYT'!J23</f>
        <v>9.6999999999999993</v>
      </c>
      <c r="K16" s="231">
        <v>9.6999999999999993</v>
      </c>
      <c r="L16" s="231">
        <f>'6. DSYT'!L23</f>
        <v>9.1999999999999993</v>
      </c>
      <c r="M16" s="231">
        <f>'6. DSYT'!M23</f>
        <v>9</v>
      </c>
      <c r="N16" s="231">
        <f>M16</f>
        <v>9</v>
      </c>
      <c r="O16" s="142">
        <f>D16/K16%</f>
        <v>115.4639175257732</v>
      </c>
      <c r="P16" s="142">
        <f>F16/K16%</f>
        <v>108.24742268041238</v>
      </c>
      <c r="Q16" s="142">
        <f>F16/N16%</f>
        <v>116.66666666666667</v>
      </c>
      <c r="R16" s="232" t="s">
        <v>339</v>
      </c>
      <c r="S16" s="162" t="s">
        <v>339</v>
      </c>
      <c r="T16" s="345"/>
    </row>
    <row r="17" spans="1:20" s="139" customFormat="1" ht="51.75" customHeight="1" x14ac:dyDescent="0.25">
      <c r="A17" s="22"/>
      <c r="B17" s="15" t="s">
        <v>28</v>
      </c>
      <c r="C17" s="22" t="s">
        <v>33</v>
      </c>
      <c r="D17" s="222">
        <v>89.5</v>
      </c>
      <c r="E17" s="100">
        <v>96</v>
      </c>
      <c r="F17" s="100">
        <v>96</v>
      </c>
      <c r="G17" s="100">
        <v>90</v>
      </c>
      <c r="H17" s="100">
        <v>92</v>
      </c>
      <c r="I17" s="100">
        <f>'6. DSYT'!I27</f>
        <v>93</v>
      </c>
      <c r="J17" s="230">
        <f>'6. DSYT'!J27</f>
        <v>94</v>
      </c>
      <c r="K17" s="230">
        <v>94</v>
      </c>
      <c r="L17" s="230">
        <f>'6. DSYT'!L27</f>
        <v>95</v>
      </c>
      <c r="M17" s="230">
        <f>'6. DSYT'!M27</f>
        <v>96</v>
      </c>
      <c r="N17" s="230">
        <v>96</v>
      </c>
      <c r="O17" s="142">
        <f t="shared" si="0"/>
        <v>105.02793296089385</v>
      </c>
      <c r="P17" s="142">
        <f t="shared" si="1"/>
        <v>97.916666666666671</v>
      </c>
      <c r="Q17" s="142">
        <f t="shared" si="2"/>
        <v>100</v>
      </c>
      <c r="R17" s="229"/>
      <c r="S17" s="162" t="s">
        <v>339</v>
      </c>
      <c r="T17" s="345"/>
    </row>
    <row r="18" spans="1:20" s="139" customFormat="1" ht="48" customHeight="1" x14ac:dyDescent="0.25">
      <c r="A18" s="89">
        <v>5</v>
      </c>
      <c r="B18" s="11" t="s">
        <v>20</v>
      </c>
      <c r="C18" s="100"/>
      <c r="D18" s="100"/>
      <c r="E18" s="98"/>
      <c r="F18" s="98"/>
      <c r="G18" s="100"/>
      <c r="H18" s="100"/>
      <c r="I18" s="100"/>
      <c r="J18" s="230"/>
      <c r="K18" s="230"/>
      <c r="L18" s="230"/>
      <c r="M18" s="230"/>
      <c r="N18" s="230"/>
      <c r="O18" s="142"/>
      <c r="P18" s="142"/>
      <c r="Q18" s="142"/>
      <c r="R18" s="229"/>
      <c r="S18" s="111"/>
      <c r="T18" s="345"/>
    </row>
    <row r="19" spans="1:20" s="139" customFormat="1" ht="58.5" customHeight="1" x14ac:dyDescent="0.25">
      <c r="A19" s="22"/>
      <c r="B19" s="15" t="s">
        <v>24</v>
      </c>
      <c r="C19" s="22" t="s">
        <v>33</v>
      </c>
      <c r="D19" s="100">
        <v>79.3</v>
      </c>
      <c r="E19" s="100">
        <v>96.67</v>
      </c>
      <c r="F19" s="176">
        <v>96.67</v>
      </c>
      <c r="G19" s="100">
        <v>76.7</v>
      </c>
      <c r="H19" s="222">
        <v>80</v>
      </c>
      <c r="I19" s="118">
        <f>'5. GDĐT-KHCN'!I26</f>
        <v>83.333333333333343</v>
      </c>
      <c r="J19" s="233">
        <f>'5. GDĐT-KHCN'!J26</f>
        <v>83.333333333333343</v>
      </c>
      <c r="K19" s="233">
        <v>83.3</v>
      </c>
      <c r="L19" s="233">
        <f>'5. GDĐT-KHCN'!L26</f>
        <v>96.428571428571431</v>
      </c>
      <c r="M19" s="233">
        <f>'5. GDĐT-KHCN'!M26</f>
        <v>96.428571428571431</v>
      </c>
      <c r="N19" s="233">
        <f>M19</f>
        <v>96.428571428571431</v>
      </c>
      <c r="O19" s="142">
        <f t="shared" si="0"/>
        <v>105.04413619167718</v>
      </c>
      <c r="P19" s="142">
        <f t="shared" si="1"/>
        <v>86.169442433019555</v>
      </c>
      <c r="Q19" s="142">
        <f t="shared" si="2"/>
        <v>99.750254917318131</v>
      </c>
      <c r="R19" s="229"/>
      <c r="S19" s="162" t="s">
        <v>339</v>
      </c>
      <c r="T19" s="345"/>
    </row>
    <row r="20" spans="1:20" s="146" customFormat="1" ht="50.25" customHeight="1" x14ac:dyDescent="0.25">
      <c r="A20" s="22"/>
      <c r="B20" s="15" t="s">
        <v>21</v>
      </c>
      <c r="C20" s="22" t="s">
        <v>33</v>
      </c>
      <c r="D20" s="100">
        <v>84.6</v>
      </c>
      <c r="E20" s="99">
        <v>100</v>
      </c>
      <c r="F20" s="99">
        <v>100</v>
      </c>
      <c r="G20" s="100">
        <v>84.6</v>
      </c>
      <c r="H20" s="176">
        <v>92.307692307692307</v>
      </c>
      <c r="I20" s="118">
        <f>'5. GDĐT-KHCN'!I27</f>
        <v>92.307692307692307</v>
      </c>
      <c r="J20" s="233">
        <f>'5. GDĐT-KHCN'!J27</f>
        <v>92.307692307692307</v>
      </c>
      <c r="K20" s="233">
        <v>92.3</v>
      </c>
      <c r="L20" s="99">
        <f>'5. GDĐT-KHCN'!L27</f>
        <v>100</v>
      </c>
      <c r="M20" s="254">
        <f>'5. GDĐT-KHCN'!M27</f>
        <v>100</v>
      </c>
      <c r="N20" s="307">
        <f t="shared" ref="N20:N23" si="3">M20</f>
        <v>100</v>
      </c>
      <c r="O20" s="142">
        <f t="shared" si="0"/>
        <v>109.10165484633569</v>
      </c>
      <c r="P20" s="142">
        <f t="shared" si="1"/>
        <v>92.3</v>
      </c>
      <c r="Q20" s="142">
        <f t="shared" si="2"/>
        <v>100</v>
      </c>
      <c r="R20" s="232"/>
      <c r="S20" s="162" t="s">
        <v>339</v>
      </c>
      <c r="T20" s="345"/>
    </row>
    <row r="21" spans="1:20" s="146" customFormat="1" ht="50.25" customHeight="1" x14ac:dyDescent="0.25">
      <c r="A21" s="22"/>
      <c r="B21" s="15" t="s">
        <v>22</v>
      </c>
      <c r="C21" s="22" t="s">
        <v>33</v>
      </c>
      <c r="D21" s="100">
        <v>88.9</v>
      </c>
      <c r="E21" s="99">
        <v>100</v>
      </c>
      <c r="F21" s="99">
        <v>100</v>
      </c>
      <c r="G21" s="100">
        <v>88.9</v>
      </c>
      <c r="H21" s="176">
        <v>88.888888888888886</v>
      </c>
      <c r="I21" s="118">
        <f>'5. GDĐT-KHCN'!I28</f>
        <v>88.888888888888886</v>
      </c>
      <c r="J21" s="233">
        <f>'5. GDĐT-KHCN'!J28</f>
        <v>88.888888888888886</v>
      </c>
      <c r="K21" s="233">
        <v>88.9</v>
      </c>
      <c r="L21" s="99">
        <f>'5. GDĐT-KHCN'!L28</f>
        <v>100</v>
      </c>
      <c r="M21" s="254">
        <f>'5. GDĐT-KHCN'!M28</f>
        <v>100</v>
      </c>
      <c r="N21" s="307">
        <f t="shared" si="3"/>
        <v>100</v>
      </c>
      <c r="O21" s="142">
        <f t="shared" si="0"/>
        <v>100</v>
      </c>
      <c r="P21" s="142">
        <f t="shared" si="1"/>
        <v>88.9</v>
      </c>
      <c r="Q21" s="142">
        <f t="shared" si="2"/>
        <v>100</v>
      </c>
      <c r="R21" s="232"/>
      <c r="S21" s="162" t="s">
        <v>339</v>
      </c>
      <c r="T21" s="345"/>
    </row>
    <row r="22" spans="1:20" s="146" customFormat="1" ht="50.25" customHeight="1" x14ac:dyDescent="0.25">
      <c r="A22" s="22"/>
      <c r="B22" s="15" t="s">
        <v>23</v>
      </c>
      <c r="C22" s="22" t="s">
        <v>33</v>
      </c>
      <c r="D22" s="100">
        <v>50</v>
      </c>
      <c r="E22" s="99">
        <v>87.5</v>
      </c>
      <c r="F22" s="99">
        <v>87.5</v>
      </c>
      <c r="G22" s="100">
        <v>50</v>
      </c>
      <c r="H22" s="176">
        <v>50</v>
      </c>
      <c r="I22" s="118">
        <f>'5. GDĐT-KHCN'!I29</f>
        <v>50</v>
      </c>
      <c r="J22" s="233">
        <f>'5. GDĐT-KHCN'!J29</f>
        <v>62.5</v>
      </c>
      <c r="K22" s="233">
        <v>62.5</v>
      </c>
      <c r="L22" s="132">
        <f>'5. GDĐT-KHCN'!L29</f>
        <v>87.5</v>
      </c>
      <c r="M22" s="132">
        <f>'5. GDĐT-KHCN'!M29</f>
        <v>87.5</v>
      </c>
      <c r="N22" s="233">
        <f t="shared" si="3"/>
        <v>87.5</v>
      </c>
      <c r="O22" s="142">
        <f t="shared" si="0"/>
        <v>125</v>
      </c>
      <c r="P22" s="142">
        <f t="shared" si="1"/>
        <v>71.428571428571431</v>
      </c>
      <c r="Q22" s="142">
        <f t="shared" si="2"/>
        <v>100</v>
      </c>
      <c r="R22" s="232"/>
      <c r="S22" s="162" t="s">
        <v>339</v>
      </c>
      <c r="T22" s="345"/>
    </row>
    <row r="23" spans="1:20" s="146" customFormat="1" ht="50.25" customHeight="1" x14ac:dyDescent="0.25">
      <c r="A23" s="22"/>
      <c r="B23" s="15" t="s">
        <v>25</v>
      </c>
      <c r="C23" s="22" t="s">
        <v>33</v>
      </c>
      <c r="D23" s="100">
        <v>38</v>
      </c>
      <c r="E23" s="99">
        <v>53.33</v>
      </c>
      <c r="F23" s="99">
        <v>53.33</v>
      </c>
      <c r="G23" s="100">
        <v>40</v>
      </c>
      <c r="H23" s="100">
        <v>53.3</v>
      </c>
      <c r="I23" s="118">
        <f>'5. GDĐT-KHCN'!I31</f>
        <v>53.333333333333336</v>
      </c>
      <c r="J23" s="233">
        <f>'5. GDĐT-KHCN'!J31</f>
        <v>53.333333333333336</v>
      </c>
      <c r="K23" s="233">
        <v>53.3</v>
      </c>
      <c r="L23" s="233">
        <f>'5. GDĐT-KHCN'!L31</f>
        <v>67.857142857142861</v>
      </c>
      <c r="M23" s="233">
        <f>'5. GDĐT-KHCN'!M31</f>
        <v>67.857142857142861</v>
      </c>
      <c r="N23" s="233">
        <f t="shared" si="3"/>
        <v>67.857142857142861</v>
      </c>
      <c r="O23" s="142">
        <f t="shared" si="0"/>
        <v>140.26315789473682</v>
      </c>
      <c r="P23" s="142">
        <f t="shared" si="1"/>
        <v>99.943746484155255</v>
      </c>
      <c r="Q23" s="142">
        <f t="shared" si="2"/>
        <v>127.24009536310307</v>
      </c>
      <c r="R23" s="232" t="s">
        <v>339</v>
      </c>
      <c r="S23" s="162" t="s">
        <v>339</v>
      </c>
      <c r="T23" s="345"/>
    </row>
    <row r="24" spans="1:20" s="146" customFormat="1" ht="50.25" customHeight="1" x14ac:dyDescent="0.25">
      <c r="A24" s="89">
        <v>6</v>
      </c>
      <c r="B24" s="19" t="s">
        <v>29</v>
      </c>
      <c r="C24" s="100"/>
      <c r="D24" s="100"/>
      <c r="E24" s="100"/>
      <c r="F24" s="100"/>
      <c r="G24" s="100"/>
      <c r="H24" s="100"/>
      <c r="I24" s="100"/>
      <c r="J24" s="230"/>
      <c r="K24" s="230"/>
      <c r="L24" s="230"/>
      <c r="M24" s="230"/>
      <c r="N24" s="230"/>
      <c r="O24" s="142"/>
      <c r="P24" s="142"/>
      <c r="Q24" s="142"/>
      <c r="R24" s="229"/>
      <c r="S24" s="111"/>
      <c r="T24" s="345"/>
    </row>
    <row r="25" spans="1:20" s="329" customFormat="1" ht="50.25" customHeight="1" x14ac:dyDescent="0.25">
      <c r="A25" s="293"/>
      <c r="B25" s="346" t="s">
        <v>7</v>
      </c>
      <c r="C25" s="293" t="s">
        <v>44</v>
      </c>
      <c r="D25" s="325">
        <v>885</v>
      </c>
      <c r="E25" s="297">
        <v>600</v>
      </c>
      <c r="F25" s="297">
        <v>3000</v>
      </c>
      <c r="G25" s="297">
        <v>835</v>
      </c>
      <c r="H25" s="297">
        <v>920</v>
      </c>
      <c r="I25" s="297">
        <f>'6. DSYT'!I35</f>
        <v>590</v>
      </c>
      <c r="J25" s="297">
        <f>'6. DSYT'!J35</f>
        <v>950</v>
      </c>
      <c r="K25" s="297">
        <f>+G25+H25+I25</f>
        <v>2345</v>
      </c>
      <c r="L25" s="297">
        <f>'6. DSYT'!L35</f>
        <v>950</v>
      </c>
      <c r="M25" s="297">
        <f>'6. DSYT'!M35</f>
        <v>950</v>
      </c>
      <c r="N25" s="297">
        <f>'6. DSYT'!N35</f>
        <v>4605</v>
      </c>
      <c r="O25" s="347">
        <f t="shared" si="0"/>
        <v>264.9717514124294</v>
      </c>
      <c r="P25" s="347">
        <f t="shared" si="1"/>
        <v>78.166666666666671</v>
      </c>
      <c r="Q25" s="347">
        <f t="shared" si="2"/>
        <v>153.5</v>
      </c>
      <c r="R25" s="348"/>
      <c r="S25" s="304" t="s">
        <v>339</v>
      </c>
      <c r="T25" s="349"/>
    </row>
    <row r="26" spans="1:20" s="329" customFormat="1" ht="50.25" customHeight="1" x14ac:dyDescent="0.25">
      <c r="A26" s="293"/>
      <c r="B26" s="302" t="s">
        <v>8</v>
      </c>
      <c r="C26" s="293" t="s">
        <v>44</v>
      </c>
      <c r="D26" s="325">
        <v>305</v>
      </c>
      <c r="E26" s="350">
        <v>180</v>
      </c>
      <c r="F26" s="350">
        <v>900</v>
      </c>
      <c r="G26" s="297">
        <v>400</v>
      </c>
      <c r="H26" s="297">
        <v>350</v>
      </c>
      <c r="I26" s="297">
        <f>'6. DSYT'!I42</f>
        <v>165</v>
      </c>
      <c r="J26" s="297">
        <f>'6. DSYT'!J42</f>
        <v>250</v>
      </c>
      <c r="K26" s="297">
        <f>'6. DSYT'!K42</f>
        <v>915</v>
      </c>
      <c r="L26" s="297">
        <f>'6. DSYT'!L42</f>
        <v>250</v>
      </c>
      <c r="M26" s="351">
        <f>'6. DSYT'!M42</f>
        <v>250</v>
      </c>
      <c r="N26" s="351">
        <f>'6. DSYT'!N42</f>
        <v>1500</v>
      </c>
      <c r="O26" s="347">
        <f t="shared" si="0"/>
        <v>300</v>
      </c>
      <c r="P26" s="347">
        <f t="shared" si="1"/>
        <v>101.66666666666667</v>
      </c>
      <c r="Q26" s="347">
        <f t="shared" si="2"/>
        <v>166.66666666666666</v>
      </c>
      <c r="R26" s="352" t="s">
        <v>339</v>
      </c>
      <c r="S26" s="304" t="s">
        <v>339</v>
      </c>
      <c r="T26" s="349"/>
    </row>
    <row r="27" spans="1:20" s="146" customFormat="1" ht="66" customHeight="1" x14ac:dyDescent="0.25">
      <c r="A27" s="22"/>
      <c r="B27" s="21" t="s">
        <v>9</v>
      </c>
      <c r="C27" s="22" t="s">
        <v>33</v>
      </c>
      <c r="D27" s="100">
        <v>82.8</v>
      </c>
      <c r="E27" s="99">
        <v>85</v>
      </c>
      <c r="F27" s="99">
        <v>85</v>
      </c>
      <c r="G27" s="166">
        <v>84.2</v>
      </c>
      <c r="H27" s="166">
        <v>84.5</v>
      </c>
      <c r="I27" s="166">
        <f>'6. DSYT'!I43</f>
        <v>84.5</v>
      </c>
      <c r="J27" s="166">
        <f>'6. DSYT'!J43</f>
        <v>84.5</v>
      </c>
      <c r="K27" s="166">
        <f>+J27</f>
        <v>84.5</v>
      </c>
      <c r="L27" s="101">
        <f>'6. DSYT'!L43</f>
        <v>85</v>
      </c>
      <c r="M27" s="255">
        <f>'6. DSYT'!M43</f>
        <v>85</v>
      </c>
      <c r="N27" s="255">
        <f>'6. DSYT'!N43</f>
        <v>85</v>
      </c>
      <c r="O27" s="142">
        <f t="shared" si="0"/>
        <v>102.05314009661836</v>
      </c>
      <c r="P27" s="142">
        <f t="shared" si="1"/>
        <v>99.411764705882362</v>
      </c>
      <c r="Q27" s="142">
        <f t="shared" si="2"/>
        <v>100</v>
      </c>
      <c r="R27" s="229"/>
      <c r="S27" s="162" t="s">
        <v>339</v>
      </c>
      <c r="T27" s="345"/>
    </row>
    <row r="28" spans="1:20" s="146" customFormat="1" ht="50.25" customHeight="1" x14ac:dyDescent="0.25">
      <c r="A28" s="89">
        <v>7</v>
      </c>
      <c r="B28" s="11" t="s">
        <v>30</v>
      </c>
      <c r="C28" s="100"/>
      <c r="D28" s="100"/>
      <c r="E28" s="99"/>
      <c r="F28" s="99"/>
      <c r="G28" s="100"/>
      <c r="H28" s="100"/>
      <c r="I28" s="100"/>
      <c r="J28" s="230"/>
      <c r="K28" s="230"/>
      <c r="L28" s="230"/>
      <c r="M28" s="230"/>
      <c r="N28" s="230"/>
      <c r="O28" s="142"/>
      <c r="P28" s="142"/>
      <c r="Q28" s="142"/>
      <c r="R28" s="229"/>
      <c r="S28" s="111"/>
      <c r="T28" s="345"/>
    </row>
    <row r="29" spans="1:20" s="146" customFormat="1" ht="60" customHeight="1" x14ac:dyDescent="0.25">
      <c r="A29" s="22"/>
      <c r="B29" s="21" t="s">
        <v>10</v>
      </c>
      <c r="C29" s="22" t="s">
        <v>33</v>
      </c>
      <c r="D29" s="100">
        <v>96.9</v>
      </c>
      <c r="E29" s="99">
        <v>96</v>
      </c>
      <c r="F29" s="99">
        <v>96</v>
      </c>
      <c r="G29" s="100">
        <v>96</v>
      </c>
      <c r="H29" s="100">
        <v>96</v>
      </c>
      <c r="I29" s="100">
        <f>'6. DSYT'!I63</f>
        <v>96.3</v>
      </c>
      <c r="J29" s="230">
        <f>'6. DSYT'!J63</f>
        <v>96.3</v>
      </c>
      <c r="K29" s="230">
        <f>J29</f>
        <v>96.3</v>
      </c>
      <c r="L29" s="230">
        <f>'6. DSYT'!L63</f>
        <v>96.3</v>
      </c>
      <c r="M29" s="230">
        <f>'6. DSYT'!M63</f>
        <v>96.3</v>
      </c>
      <c r="N29" s="230">
        <f>'6. DSYT'!N63</f>
        <v>96.3</v>
      </c>
      <c r="O29" s="142">
        <f t="shared" si="0"/>
        <v>99.380804953560357</v>
      </c>
      <c r="P29" s="142">
        <f t="shared" si="1"/>
        <v>100.3125</v>
      </c>
      <c r="Q29" s="142">
        <f t="shared" si="2"/>
        <v>100.3125</v>
      </c>
      <c r="R29" s="232" t="s">
        <v>339</v>
      </c>
      <c r="S29" s="162" t="s">
        <v>339</v>
      </c>
      <c r="T29" s="345"/>
    </row>
    <row r="30" spans="1:20" s="146" customFormat="1" ht="60" customHeight="1" x14ac:dyDescent="0.25">
      <c r="A30" s="22"/>
      <c r="B30" s="21" t="s">
        <v>11</v>
      </c>
      <c r="C30" s="22" t="s">
        <v>33</v>
      </c>
      <c r="D30" s="100">
        <v>97.1</v>
      </c>
      <c r="E30" s="99">
        <v>96</v>
      </c>
      <c r="F30" s="99">
        <v>96</v>
      </c>
      <c r="G30" s="100">
        <v>98.6</v>
      </c>
      <c r="H30" s="100">
        <v>98.6</v>
      </c>
      <c r="I30" s="100">
        <f>'6. DSYT'!I64</f>
        <v>98.6</v>
      </c>
      <c r="J30" s="230">
        <f>'6. DSYT'!J64</f>
        <v>98.6</v>
      </c>
      <c r="K30" s="230">
        <f t="shared" ref="K30:K32" si="4">J30</f>
        <v>98.6</v>
      </c>
      <c r="L30" s="230">
        <f>'6. DSYT'!L64</f>
        <v>98.6</v>
      </c>
      <c r="M30" s="230">
        <f>'6. DSYT'!M64</f>
        <v>98.6</v>
      </c>
      <c r="N30" s="230">
        <f>'6. DSYT'!N64</f>
        <v>98.6</v>
      </c>
      <c r="O30" s="142">
        <f t="shared" si="0"/>
        <v>101.54479917610711</v>
      </c>
      <c r="P30" s="142">
        <f t="shared" si="1"/>
        <v>102.70833333333333</v>
      </c>
      <c r="Q30" s="142">
        <f t="shared" si="2"/>
        <v>102.70833333333333</v>
      </c>
      <c r="R30" s="232" t="s">
        <v>339</v>
      </c>
      <c r="S30" s="162" t="s">
        <v>339</v>
      </c>
      <c r="T30" s="345"/>
    </row>
    <row r="31" spans="1:20" s="146" customFormat="1" ht="60" customHeight="1" x14ac:dyDescent="0.25">
      <c r="A31" s="22"/>
      <c r="B31" s="21" t="s">
        <v>12</v>
      </c>
      <c r="C31" s="22" t="s">
        <v>33</v>
      </c>
      <c r="D31" s="100">
        <v>98.2</v>
      </c>
      <c r="E31" s="99">
        <v>98</v>
      </c>
      <c r="F31" s="99">
        <v>98</v>
      </c>
      <c r="G31" s="100">
        <v>98.1</v>
      </c>
      <c r="H31" s="100">
        <v>98.1</v>
      </c>
      <c r="I31" s="100">
        <f>'6. DSYT'!I65</f>
        <v>98.1</v>
      </c>
      <c r="J31" s="230">
        <f>'6. DSYT'!J65</f>
        <v>98.1</v>
      </c>
      <c r="K31" s="230">
        <f t="shared" si="4"/>
        <v>98.1</v>
      </c>
      <c r="L31" s="230">
        <f>'6. DSYT'!L65</f>
        <v>98.1</v>
      </c>
      <c r="M31" s="230">
        <f>'6. DSYT'!M65</f>
        <v>98.1</v>
      </c>
      <c r="N31" s="230">
        <f>'6. DSYT'!N65</f>
        <v>98.1</v>
      </c>
      <c r="O31" s="142">
        <f t="shared" si="0"/>
        <v>99.898167006109972</v>
      </c>
      <c r="P31" s="142">
        <f t="shared" si="1"/>
        <v>100.10204081632652</v>
      </c>
      <c r="Q31" s="142">
        <f t="shared" si="2"/>
        <v>100.10204081632652</v>
      </c>
      <c r="R31" s="232" t="s">
        <v>339</v>
      </c>
      <c r="S31" s="162" t="s">
        <v>339</v>
      </c>
      <c r="T31" s="345"/>
    </row>
    <row r="32" spans="1:20" s="146" customFormat="1" ht="60" customHeight="1" x14ac:dyDescent="0.25">
      <c r="A32" s="22"/>
      <c r="B32" s="21" t="s">
        <v>13</v>
      </c>
      <c r="C32" s="22" t="s">
        <v>33</v>
      </c>
      <c r="D32" s="100">
        <v>70</v>
      </c>
      <c r="E32" s="142">
        <v>80.150000000000006</v>
      </c>
      <c r="F32" s="142">
        <v>80.150000000000006</v>
      </c>
      <c r="G32" s="100">
        <v>57.3</v>
      </c>
      <c r="H32" s="100">
        <v>67.900000000000006</v>
      </c>
      <c r="I32" s="176">
        <f>'6. DSYT'!I67</f>
        <v>71.8</v>
      </c>
      <c r="J32" s="231">
        <f>'6. DSYT'!J67</f>
        <v>71.8</v>
      </c>
      <c r="K32" s="230">
        <f t="shared" si="4"/>
        <v>71.8</v>
      </c>
      <c r="L32" s="234">
        <f>'6. DSYT'!L67</f>
        <v>77</v>
      </c>
      <c r="M32" s="234">
        <f>'6. DSYT'!M67</f>
        <v>80</v>
      </c>
      <c r="N32" s="234">
        <f>'6. DSYT'!N67</f>
        <v>80</v>
      </c>
      <c r="O32" s="142">
        <f t="shared" si="0"/>
        <v>102.57142857142857</v>
      </c>
      <c r="P32" s="142">
        <f t="shared" si="1"/>
        <v>89.582033686837164</v>
      </c>
      <c r="Q32" s="142">
        <f t="shared" si="2"/>
        <v>99.812850904553954</v>
      </c>
      <c r="R32" s="232"/>
      <c r="S32" s="162" t="s">
        <v>339</v>
      </c>
      <c r="T32" s="345"/>
    </row>
    <row r="33" spans="1:20" s="146" customFormat="1" ht="69" customHeight="1" x14ac:dyDescent="0.25">
      <c r="A33" s="22"/>
      <c r="B33" s="21" t="s">
        <v>41</v>
      </c>
      <c r="C33" s="22" t="s">
        <v>42</v>
      </c>
      <c r="D33" s="100">
        <v>2</v>
      </c>
      <c r="E33" s="99">
        <v>4</v>
      </c>
      <c r="F33" s="99">
        <v>4</v>
      </c>
      <c r="G33" s="100">
        <v>2</v>
      </c>
      <c r="H33" s="100">
        <v>2</v>
      </c>
      <c r="I33" s="100"/>
      <c r="J33" s="230"/>
      <c r="K33" s="230"/>
      <c r="L33" s="230">
        <f>'6. DSYT'!L68</f>
        <v>4</v>
      </c>
      <c r="M33" s="230">
        <f>'6. DSYT'!M68</f>
        <v>4</v>
      </c>
      <c r="N33" s="230">
        <f>'6. DSYT'!N68</f>
        <v>4</v>
      </c>
      <c r="O33" s="142">
        <f t="shared" si="0"/>
        <v>0</v>
      </c>
      <c r="P33" s="142">
        <f t="shared" si="1"/>
        <v>0</v>
      </c>
      <c r="Q33" s="142">
        <f t="shared" si="2"/>
        <v>100</v>
      </c>
      <c r="R33" s="229"/>
      <c r="S33" s="162" t="s">
        <v>339</v>
      </c>
      <c r="T33" s="154" t="s">
        <v>327</v>
      </c>
    </row>
    <row r="34" spans="1:20" s="146" customFormat="1" ht="69" customHeight="1" x14ac:dyDescent="0.25">
      <c r="A34" s="22"/>
      <c r="B34" s="21" t="s">
        <v>40</v>
      </c>
      <c r="C34" s="22" t="s">
        <v>43</v>
      </c>
      <c r="D34" s="100">
        <v>1</v>
      </c>
      <c r="E34" s="99">
        <v>2</v>
      </c>
      <c r="F34" s="99"/>
      <c r="G34" s="100"/>
      <c r="H34" s="100"/>
      <c r="I34" s="100"/>
      <c r="J34" s="230"/>
      <c r="K34" s="230"/>
      <c r="L34" s="230"/>
      <c r="M34" s="230"/>
      <c r="N34" s="230"/>
      <c r="O34" s="142">
        <f t="shared" si="0"/>
        <v>0</v>
      </c>
      <c r="P34" s="142"/>
      <c r="Q34" s="142"/>
      <c r="R34" s="229"/>
      <c r="S34" s="111"/>
      <c r="T34" s="154" t="s">
        <v>328</v>
      </c>
    </row>
    <row r="35" spans="1:20" s="146" customFormat="1" ht="51.75" customHeight="1" x14ac:dyDescent="0.25">
      <c r="A35" s="89" t="s">
        <v>31</v>
      </c>
      <c r="B35" s="11" t="s">
        <v>323</v>
      </c>
      <c r="C35" s="100"/>
      <c r="D35" s="100"/>
      <c r="E35" s="100"/>
      <c r="F35" s="100"/>
      <c r="G35" s="100"/>
      <c r="H35" s="100"/>
      <c r="I35" s="100"/>
      <c r="J35" s="230"/>
      <c r="K35" s="230"/>
      <c r="L35" s="230"/>
      <c r="M35" s="230"/>
      <c r="N35" s="230"/>
      <c r="O35" s="142"/>
      <c r="P35" s="142"/>
      <c r="Q35" s="142"/>
      <c r="R35" s="229"/>
      <c r="S35" s="111"/>
      <c r="T35" s="345"/>
    </row>
    <row r="36" spans="1:20" s="146" customFormat="1" ht="49.5" customHeight="1" x14ac:dyDescent="0.25">
      <c r="A36" s="89">
        <v>8</v>
      </c>
      <c r="B36" s="11" t="s">
        <v>32</v>
      </c>
      <c r="C36" s="100"/>
      <c r="D36" s="100"/>
      <c r="E36" s="100"/>
      <c r="F36" s="100"/>
      <c r="G36" s="100"/>
      <c r="H36" s="100"/>
      <c r="I36" s="100"/>
      <c r="J36" s="230"/>
      <c r="K36" s="230"/>
      <c r="L36" s="230"/>
      <c r="M36" s="230"/>
      <c r="N36" s="230"/>
      <c r="O36" s="142"/>
      <c r="P36" s="142"/>
      <c r="Q36" s="142"/>
      <c r="R36" s="229"/>
      <c r="S36" s="111"/>
      <c r="T36" s="345"/>
    </row>
    <row r="37" spans="1:20" s="146" customFormat="1" ht="56.25" customHeight="1" x14ac:dyDescent="0.25">
      <c r="A37" s="89"/>
      <c r="B37" s="21" t="s">
        <v>34</v>
      </c>
      <c r="C37" s="22" t="s">
        <v>33</v>
      </c>
      <c r="D37" s="100">
        <v>100</v>
      </c>
      <c r="E37" s="99">
        <v>100</v>
      </c>
      <c r="F37" s="99">
        <v>100</v>
      </c>
      <c r="G37" s="100">
        <v>100</v>
      </c>
      <c r="H37" s="100">
        <v>100</v>
      </c>
      <c r="I37" s="100">
        <v>100</v>
      </c>
      <c r="J37" s="230">
        <v>100</v>
      </c>
      <c r="K37" s="230">
        <v>100</v>
      </c>
      <c r="L37" s="230">
        <v>100</v>
      </c>
      <c r="M37" s="230">
        <v>100</v>
      </c>
      <c r="N37" s="230">
        <v>100</v>
      </c>
      <c r="O37" s="142">
        <f t="shared" si="0"/>
        <v>100</v>
      </c>
      <c r="P37" s="142">
        <f t="shared" si="1"/>
        <v>100</v>
      </c>
      <c r="Q37" s="142">
        <f t="shared" si="2"/>
        <v>100</v>
      </c>
      <c r="R37" s="232" t="s">
        <v>339</v>
      </c>
      <c r="S37" s="162" t="s">
        <v>339</v>
      </c>
      <c r="T37" s="345"/>
    </row>
    <row r="38" spans="1:20" s="146" customFormat="1" ht="56.25" customHeight="1" x14ac:dyDescent="0.25">
      <c r="A38" s="22"/>
      <c r="B38" s="15" t="s">
        <v>35</v>
      </c>
      <c r="C38" s="22" t="s">
        <v>33</v>
      </c>
      <c r="D38" s="100">
        <v>100</v>
      </c>
      <c r="E38" s="99">
        <v>100</v>
      </c>
      <c r="F38" s="99">
        <v>100</v>
      </c>
      <c r="G38" s="100">
        <v>100</v>
      </c>
      <c r="H38" s="100">
        <v>100</v>
      </c>
      <c r="I38" s="100">
        <v>100</v>
      </c>
      <c r="J38" s="230">
        <v>100</v>
      </c>
      <c r="K38" s="230">
        <v>100</v>
      </c>
      <c r="L38" s="230">
        <v>100</v>
      </c>
      <c r="M38" s="230">
        <v>100</v>
      </c>
      <c r="N38" s="230">
        <v>100</v>
      </c>
      <c r="O38" s="142">
        <f t="shared" si="0"/>
        <v>100</v>
      </c>
      <c r="P38" s="142">
        <f t="shared" si="1"/>
        <v>100</v>
      </c>
      <c r="Q38" s="142">
        <f t="shared" si="2"/>
        <v>100</v>
      </c>
      <c r="R38" s="232" t="s">
        <v>339</v>
      </c>
      <c r="S38" s="162" t="s">
        <v>339</v>
      </c>
      <c r="T38" s="345"/>
    </row>
    <row r="39" spans="1:20" s="146" customFormat="1" ht="56.25" customHeight="1" x14ac:dyDescent="0.25">
      <c r="A39" s="22"/>
      <c r="B39" s="15" t="s">
        <v>36</v>
      </c>
      <c r="C39" s="22" t="s">
        <v>33</v>
      </c>
      <c r="D39" s="100">
        <v>78.5</v>
      </c>
      <c r="E39" s="99">
        <v>95</v>
      </c>
      <c r="F39" s="99">
        <v>95</v>
      </c>
      <c r="G39" s="100">
        <v>78.5</v>
      </c>
      <c r="H39" s="100">
        <v>85</v>
      </c>
      <c r="I39" s="100">
        <v>85</v>
      </c>
      <c r="J39" s="230">
        <v>85</v>
      </c>
      <c r="K39" s="230">
        <v>85</v>
      </c>
      <c r="L39" s="230">
        <v>93</v>
      </c>
      <c r="M39" s="230">
        <v>95</v>
      </c>
      <c r="N39" s="230">
        <v>95</v>
      </c>
      <c r="O39" s="142">
        <f t="shared" si="0"/>
        <v>108.28025477707006</v>
      </c>
      <c r="P39" s="142">
        <f t="shared" si="1"/>
        <v>89.473684210526315</v>
      </c>
      <c r="Q39" s="142">
        <f t="shared" si="2"/>
        <v>100</v>
      </c>
      <c r="R39" s="232" t="s">
        <v>363</v>
      </c>
      <c r="S39" s="162" t="s">
        <v>339</v>
      </c>
      <c r="T39" s="345"/>
    </row>
    <row r="40" spans="1:20" s="146" customFormat="1" ht="60.75" customHeight="1" x14ac:dyDescent="0.25">
      <c r="A40" s="89">
        <v>9</v>
      </c>
      <c r="B40" s="11" t="s">
        <v>37</v>
      </c>
      <c r="C40" s="22"/>
      <c r="D40" s="100"/>
      <c r="E40" s="100"/>
      <c r="F40" s="100"/>
      <c r="G40" s="100"/>
      <c r="H40" s="100"/>
      <c r="I40" s="100"/>
      <c r="J40" s="230"/>
      <c r="K40" s="230"/>
      <c r="L40" s="230"/>
      <c r="M40" s="230"/>
      <c r="N40" s="230"/>
      <c r="O40" s="142"/>
      <c r="P40" s="142"/>
      <c r="Q40" s="142"/>
      <c r="R40" s="229"/>
      <c r="S40" s="111"/>
      <c r="T40" s="345"/>
    </row>
    <row r="41" spans="1:20" s="146" customFormat="1" ht="51" customHeight="1" x14ac:dyDescent="0.25">
      <c r="A41" s="22"/>
      <c r="B41" s="21" t="s">
        <v>14</v>
      </c>
      <c r="C41" s="22" t="s">
        <v>33</v>
      </c>
      <c r="D41" s="100">
        <v>100</v>
      </c>
      <c r="E41" s="99">
        <v>100</v>
      </c>
      <c r="F41" s="99">
        <v>100</v>
      </c>
      <c r="G41" s="100">
        <v>100</v>
      </c>
      <c r="H41" s="100">
        <v>100</v>
      </c>
      <c r="I41" s="100">
        <v>100</v>
      </c>
      <c r="J41" s="230">
        <v>100</v>
      </c>
      <c r="K41" s="230">
        <v>100</v>
      </c>
      <c r="L41" s="230">
        <v>100</v>
      </c>
      <c r="M41" s="230">
        <v>100</v>
      </c>
      <c r="N41" s="230">
        <v>100</v>
      </c>
      <c r="O41" s="142">
        <f t="shared" si="0"/>
        <v>100</v>
      </c>
      <c r="P41" s="142">
        <f t="shared" si="1"/>
        <v>100</v>
      </c>
      <c r="Q41" s="142">
        <f t="shared" si="2"/>
        <v>100</v>
      </c>
      <c r="R41" s="232" t="s">
        <v>339</v>
      </c>
      <c r="S41" s="162" t="s">
        <v>339</v>
      </c>
      <c r="T41" s="345"/>
    </row>
    <row r="42" spans="1:20" s="146" customFormat="1" ht="51" customHeight="1" x14ac:dyDescent="0.25">
      <c r="A42" s="22"/>
      <c r="B42" s="21" t="s">
        <v>15</v>
      </c>
      <c r="C42" s="22" t="s">
        <v>33</v>
      </c>
      <c r="D42" s="100">
        <v>100</v>
      </c>
      <c r="E42" s="99">
        <v>100</v>
      </c>
      <c r="F42" s="99">
        <v>100</v>
      </c>
      <c r="G42" s="100">
        <v>100</v>
      </c>
      <c r="H42" s="100">
        <v>100</v>
      </c>
      <c r="I42" s="100">
        <v>100</v>
      </c>
      <c r="J42" s="230">
        <v>100</v>
      </c>
      <c r="K42" s="230">
        <v>100</v>
      </c>
      <c r="L42" s="230">
        <v>100</v>
      </c>
      <c r="M42" s="230">
        <v>100</v>
      </c>
      <c r="N42" s="230">
        <v>100</v>
      </c>
      <c r="O42" s="142">
        <f t="shared" si="0"/>
        <v>100</v>
      </c>
      <c r="P42" s="142">
        <f t="shared" si="1"/>
        <v>100</v>
      </c>
      <c r="Q42" s="142">
        <f t="shared" si="2"/>
        <v>100</v>
      </c>
      <c r="R42" s="232" t="s">
        <v>339</v>
      </c>
      <c r="S42" s="162" t="s">
        <v>339</v>
      </c>
      <c r="T42" s="345"/>
    </row>
    <row r="43" spans="1:20" x14ac:dyDescent="0.3">
      <c r="E43" s="103"/>
      <c r="F43" s="103"/>
    </row>
  </sheetData>
  <mergeCells count="19">
    <mergeCell ref="H1:T1"/>
    <mergeCell ref="A5:A6"/>
    <mergeCell ref="B5:B6"/>
    <mergeCell ref="C5:C6"/>
    <mergeCell ref="D5:D6"/>
    <mergeCell ref="E5:E6"/>
    <mergeCell ref="G5:G6"/>
    <mergeCell ref="H5:H6"/>
    <mergeCell ref="O5:Q5"/>
    <mergeCell ref="M5:M6"/>
    <mergeCell ref="T5:T6"/>
    <mergeCell ref="I5:J5"/>
    <mergeCell ref="L5:L6"/>
    <mergeCell ref="F5:F6"/>
    <mergeCell ref="K5:K6"/>
    <mergeCell ref="R5:S5"/>
    <mergeCell ref="A2:T2"/>
    <mergeCell ref="A3:T3"/>
    <mergeCell ref="N5:N6"/>
  </mergeCells>
  <pageMargins left="0.45" right="0.45" top="0.5" bottom="0.5" header="0.3" footer="0.3"/>
  <pageSetup paperSize="9" scale="48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83"/>
  <sheetViews>
    <sheetView topLeftCell="A4" zoomScale="85" zoomScaleNormal="85" workbookViewId="0">
      <pane xSplit="7" ySplit="3" topLeftCell="H7" activePane="bottomRight" state="frozen"/>
      <selection activeCell="A4" sqref="A4"/>
      <selection pane="topRight" activeCell="H4" sqref="H4"/>
      <selection pane="bottomLeft" activeCell="A7" sqref="A7"/>
      <selection pane="bottomRight" activeCell="R4" sqref="R1:S1048576"/>
    </sheetView>
  </sheetViews>
  <sheetFormatPr defaultColWidth="9.140625" defaultRowHeight="18.75" x14ac:dyDescent="0.3"/>
  <cols>
    <col min="1" max="1" width="9.140625" style="23"/>
    <col min="2" max="2" width="43.42578125" style="1" customWidth="1"/>
    <col min="3" max="3" width="12.7109375" style="1" customWidth="1"/>
    <col min="4" max="4" width="15.42578125" style="24" customWidth="1"/>
    <col min="5" max="5" width="15.28515625" style="1" hidden="1" customWidth="1"/>
    <col min="6" max="6" width="15.42578125" style="93" customWidth="1"/>
    <col min="7" max="8" width="14.140625" style="1" customWidth="1"/>
    <col min="9" max="10" width="14.140625" style="120" customWidth="1"/>
    <col min="11" max="11" width="14.140625" style="265" customWidth="1"/>
    <col min="12" max="14" width="14.140625" style="120" customWidth="1"/>
    <col min="15" max="15" width="15.85546875" style="136" customWidth="1"/>
    <col min="16" max="17" width="15.85546875" style="137" customWidth="1"/>
    <col min="18" max="19" width="15.85546875" style="137" hidden="1" customWidth="1"/>
    <col min="20" max="20" width="14.28515625" style="1" customWidth="1"/>
    <col min="21" max="16384" width="9.140625" style="1"/>
  </cols>
  <sheetData>
    <row r="1" spans="1:20" ht="19.5" x14ac:dyDescent="0.35">
      <c r="A1" s="155"/>
      <c r="B1" s="93"/>
      <c r="C1" s="93"/>
      <c r="D1" s="157"/>
      <c r="E1" s="93"/>
      <c r="G1" s="93"/>
      <c r="H1" s="93"/>
      <c r="I1" s="264"/>
      <c r="J1" s="264"/>
      <c r="K1" s="264"/>
      <c r="L1" s="265"/>
      <c r="M1" s="265"/>
      <c r="N1" s="265"/>
      <c r="O1" s="266"/>
      <c r="P1" s="158"/>
      <c r="Q1" s="387" t="s">
        <v>46</v>
      </c>
      <c r="R1" s="387"/>
      <c r="S1" s="387"/>
      <c r="T1" s="387"/>
    </row>
    <row r="2" spans="1:20" ht="24.75" customHeight="1" x14ac:dyDescent="0.3">
      <c r="A2" s="380" t="s">
        <v>331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</row>
    <row r="3" spans="1:20" ht="28.5" customHeight="1" x14ac:dyDescent="0.3">
      <c r="A3" s="381" t="str">
        <f>'1. CTCY'!A3:T3</f>
        <v>(Kèm theo báo cáo số:                 /BC-UBND ngày               tháng              năm 2023 của UBND thành phố Lai Châu)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</row>
    <row r="4" spans="1:20" x14ac:dyDescent="0.3">
      <c r="A4" s="155"/>
      <c r="B4" s="93"/>
      <c r="C4" s="93"/>
      <c r="D4" s="157"/>
      <c r="E4" s="93"/>
      <c r="G4" s="93"/>
      <c r="H4" s="93"/>
      <c r="I4" s="265"/>
      <c r="J4" s="265"/>
      <c r="L4" s="265"/>
      <c r="M4" s="265"/>
      <c r="N4" s="265"/>
      <c r="O4" s="266"/>
      <c r="P4" s="267"/>
      <c r="Q4" s="267"/>
      <c r="R4" s="267"/>
      <c r="S4" s="267"/>
      <c r="T4" s="93"/>
    </row>
    <row r="5" spans="1:20" ht="40.5" customHeight="1" x14ac:dyDescent="0.3">
      <c r="A5" s="377" t="s">
        <v>313</v>
      </c>
      <c r="B5" s="377" t="s">
        <v>312</v>
      </c>
      <c r="C5" s="377" t="s">
        <v>311</v>
      </c>
      <c r="D5" s="377" t="s">
        <v>315</v>
      </c>
      <c r="E5" s="377" t="s">
        <v>321</v>
      </c>
      <c r="F5" s="375" t="s">
        <v>320</v>
      </c>
      <c r="G5" s="377" t="s">
        <v>310</v>
      </c>
      <c r="H5" s="377" t="s">
        <v>309</v>
      </c>
      <c r="I5" s="391" t="s">
        <v>343</v>
      </c>
      <c r="J5" s="391"/>
      <c r="K5" s="375" t="s">
        <v>356</v>
      </c>
      <c r="L5" s="377" t="s">
        <v>352</v>
      </c>
      <c r="M5" s="377" t="s">
        <v>353</v>
      </c>
      <c r="N5" s="377" t="s">
        <v>349</v>
      </c>
      <c r="O5" s="388" t="s">
        <v>308</v>
      </c>
      <c r="P5" s="389"/>
      <c r="Q5" s="390"/>
      <c r="R5" s="392" t="s">
        <v>336</v>
      </c>
      <c r="S5" s="392"/>
      <c r="T5" s="377" t="s">
        <v>314</v>
      </c>
    </row>
    <row r="6" spans="1:20" ht="153" customHeight="1" x14ac:dyDescent="0.3">
      <c r="A6" s="378"/>
      <c r="B6" s="378"/>
      <c r="C6" s="378"/>
      <c r="D6" s="378"/>
      <c r="E6" s="378"/>
      <c r="F6" s="376"/>
      <c r="G6" s="378"/>
      <c r="H6" s="378"/>
      <c r="I6" s="150" t="s">
        <v>344</v>
      </c>
      <c r="J6" s="150" t="s">
        <v>345</v>
      </c>
      <c r="K6" s="376"/>
      <c r="L6" s="378"/>
      <c r="M6" s="378"/>
      <c r="N6" s="378"/>
      <c r="O6" s="260" t="s">
        <v>354</v>
      </c>
      <c r="P6" s="260" t="s">
        <v>357</v>
      </c>
      <c r="Q6" s="260" t="s">
        <v>358</v>
      </c>
      <c r="R6" s="135" t="s">
        <v>337</v>
      </c>
      <c r="S6" s="135" t="s">
        <v>338</v>
      </c>
      <c r="T6" s="378"/>
    </row>
    <row r="7" spans="1:20" s="5" customFormat="1" ht="21.75" customHeight="1" x14ac:dyDescent="0.25">
      <c r="A7" s="94">
        <v>1</v>
      </c>
      <c r="B7" s="94">
        <v>2</v>
      </c>
      <c r="C7" s="94">
        <v>3</v>
      </c>
      <c r="D7" s="94">
        <v>4</v>
      </c>
      <c r="E7" s="94"/>
      <c r="F7" s="94">
        <v>5</v>
      </c>
      <c r="G7" s="94">
        <v>6</v>
      </c>
      <c r="H7" s="94">
        <v>7</v>
      </c>
      <c r="I7" s="94">
        <v>8</v>
      </c>
      <c r="J7" s="4">
        <v>9</v>
      </c>
      <c r="K7" s="94">
        <v>10</v>
      </c>
      <c r="L7" s="4">
        <v>11</v>
      </c>
      <c r="M7" s="4">
        <v>12</v>
      </c>
      <c r="N7" s="4">
        <v>13</v>
      </c>
      <c r="O7" s="145" t="s">
        <v>359</v>
      </c>
      <c r="P7" s="145" t="s">
        <v>360</v>
      </c>
      <c r="Q7" s="145" t="s">
        <v>355</v>
      </c>
      <c r="R7" s="4">
        <v>17</v>
      </c>
      <c r="S7" s="94">
        <v>18</v>
      </c>
      <c r="T7" s="94">
        <v>19</v>
      </c>
    </row>
    <row r="8" spans="1:20" s="2" customFormat="1" ht="39" customHeight="1" x14ac:dyDescent="0.3">
      <c r="A8" s="152" t="s">
        <v>47</v>
      </c>
      <c r="B8" s="262" t="s">
        <v>316</v>
      </c>
      <c r="C8" s="152" t="s">
        <v>33</v>
      </c>
      <c r="D8" s="152"/>
      <c r="E8" s="26">
        <v>6</v>
      </c>
      <c r="F8" s="104">
        <v>4.5</v>
      </c>
      <c r="G8" s="353">
        <f>(G9-D9)/D9%</f>
        <v>6.0559796437659061</v>
      </c>
      <c r="H8" s="353">
        <f>(H9-G9)/G9%</f>
        <v>3.262955854126671</v>
      </c>
      <c r="I8" s="354"/>
      <c r="J8" s="355">
        <f>(J9-H9)/H9%</f>
        <v>3.4386617100371777</v>
      </c>
      <c r="K8" s="355">
        <f>J8</f>
        <v>3.4386617100371777</v>
      </c>
      <c r="L8" s="357">
        <f>(L9-J9)/J9%</f>
        <v>4.4474393530997327</v>
      </c>
      <c r="M8" s="358">
        <f>(M9-L9)/L9%</f>
        <v>6.021505376344086</v>
      </c>
      <c r="N8" s="358">
        <f>(G8+H8+J8+L8+M8)/5</f>
        <v>4.6453083874747154</v>
      </c>
      <c r="O8" s="287"/>
      <c r="P8" s="359">
        <f>J8/F8%</f>
        <v>76.414704667492842</v>
      </c>
      <c r="Q8" s="359">
        <f>M8/F8%</f>
        <v>133.81123058542414</v>
      </c>
      <c r="R8" s="356"/>
      <c r="S8" s="196" t="s">
        <v>339</v>
      </c>
      <c r="T8" s="7"/>
    </row>
    <row r="9" spans="1:20" s="274" customFormat="1" ht="56.25" customHeight="1" x14ac:dyDescent="0.25">
      <c r="A9" s="281" t="s">
        <v>50</v>
      </c>
      <c r="B9" s="281" t="s">
        <v>48</v>
      </c>
      <c r="C9" s="282" t="s">
        <v>39</v>
      </c>
      <c r="D9" s="283">
        <v>393</v>
      </c>
      <c r="E9" s="283">
        <v>493</v>
      </c>
      <c r="F9" s="284">
        <v>2226</v>
      </c>
      <c r="G9" s="285">
        <v>416.8</v>
      </c>
      <c r="H9" s="285">
        <v>430.4</v>
      </c>
      <c r="I9" s="286">
        <v>194.1</v>
      </c>
      <c r="J9" s="286">
        <v>445.2</v>
      </c>
      <c r="K9" s="290">
        <f>G9+H9+I9</f>
        <v>1041.3</v>
      </c>
      <c r="L9" s="290">
        <f>465</f>
        <v>465</v>
      </c>
      <c r="M9" s="290">
        <f>493</f>
        <v>493</v>
      </c>
      <c r="N9" s="290">
        <f>G9+H9+J9+L9+M9</f>
        <v>2250.4</v>
      </c>
      <c r="O9" s="290">
        <f>K9/D9%</f>
        <v>264.96183206106866</v>
      </c>
      <c r="P9" s="288">
        <f>K9/F9%</f>
        <v>46.77897574123989</v>
      </c>
      <c r="Q9" s="288">
        <f>N9/F9%</f>
        <v>101.09613656783468</v>
      </c>
      <c r="R9" s="289"/>
      <c r="S9" s="289" t="s">
        <v>339</v>
      </c>
      <c r="T9" s="273"/>
    </row>
    <row r="10" spans="1:20" s="2" customFormat="1" ht="50.25" customHeight="1" x14ac:dyDescent="0.25">
      <c r="A10" s="14"/>
      <c r="B10" s="15" t="s">
        <v>49</v>
      </c>
      <c r="C10" s="29" t="s">
        <v>38</v>
      </c>
      <c r="D10" s="28">
        <v>92.7</v>
      </c>
      <c r="E10" s="28">
        <v>134.61947089404472</v>
      </c>
      <c r="F10" s="105">
        <v>135</v>
      </c>
      <c r="G10" s="13">
        <v>98.5</v>
      </c>
      <c r="H10" s="13">
        <v>103.4</v>
      </c>
      <c r="I10" s="32"/>
      <c r="J10" s="105">
        <v>108</v>
      </c>
      <c r="K10" s="105">
        <v>108</v>
      </c>
      <c r="L10" s="105">
        <v>125</v>
      </c>
      <c r="M10" s="105">
        <v>135</v>
      </c>
      <c r="N10" s="105">
        <f>M10</f>
        <v>135</v>
      </c>
      <c r="O10" s="105">
        <f t="shared" ref="O10:O12" si="0">K10/D10%</f>
        <v>116.50485436893203</v>
      </c>
      <c r="P10" s="105">
        <f t="shared" ref="P10:P12" si="1">K10/F10%</f>
        <v>80</v>
      </c>
      <c r="Q10" s="105">
        <f t="shared" ref="Q10:Q12" si="2">N10/F10%</f>
        <v>100</v>
      </c>
      <c r="R10" s="197"/>
      <c r="S10" s="197" t="s">
        <v>339</v>
      </c>
      <c r="T10" s="13"/>
    </row>
    <row r="11" spans="1:20" s="2" customFormat="1" ht="39" customHeight="1" x14ac:dyDescent="0.25">
      <c r="A11" s="6" t="s">
        <v>88</v>
      </c>
      <c r="B11" s="6" t="s">
        <v>51</v>
      </c>
      <c r="C11" s="30"/>
      <c r="D11" s="28"/>
      <c r="E11" s="28"/>
      <c r="F11" s="105"/>
      <c r="G11" s="13"/>
      <c r="H11" s="13"/>
      <c r="I11" s="32"/>
      <c r="J11" s="32"/>
      <c r="K11" s="118"/>
      <c r="L11" s="32"/>
      <c r="M11" s="32"/>
      <c r="N11" s="32"/>
      <c r="O11" s="40"/>
      <c r="P11" s="148"/>
      <c r="Q11" s="148"/>
      <c r="R11" s="197"/>
      <c r="S11" s="197"/>
      <c r="T11" s="13"/>
    </row>
    <row r="12" spans="1:20" s="10" customFormat="1" ht="49.5" customHeight="1" x14ac:dyDescent="0.25">
      <c r="A12" s="14"/>
      <c r="B12" s="31" t="s">
        <v>52</v>
      </c>
      <c r="C12" s="29" t="s">
        <v>281</v>
      </c>
      <c r="D12" s="28">
        <v>2851.7</v>
      </c>
      <c r="E12" s="28">
        <v>2443.85</v>
      </c>
      <c r="F12" s="105">
        <v>2443.85</v>
      </c>
      <c r="G12" s="105">
        <v>2774.94</v>
      </c>
      <c r="H12" s="105">
        <v>2779.6</v>
      </c>
      <c r="I12" s="105">
        <v>2726</v>
      </c>
      <c r="J12" s="105">
        <v>2726</v>
      </c>
      <c r="K12" s="105">
        <f>I12</f>
        <v>2726</v>
      </c>
      <c r="L12" s="105">
        <v>2522</v>
      </c>
      <c r="M12" s="105">
        <v>2444</v>
      </c>
      <c r="N12" s="105">
        <f>M12</f>
        <v>2444</v>
      </c>
      <c r="O12" s="105">
        <f t="shared" si="0"/>
        <v>95.592102956131427</v>
      </c>
      <c r="P12" s="148">
        <f t="shared" si="1"/>
        <v>111.54530760889581</v>
      </c>
      <c r="Q12" s="148">
        <f t="shared" si="2"/>
        <v>100.00613785625141</v>
      </c>
      <c r="R12" s="197" t="s">
        <v>339</v>
      </c>
      <c r="S12" s="197" t="s">
        <v>339</v>
      </c>
      <c r="T12" s="13"/>
    </row>
    <row r="13" spans="1:20" s="274" customFormat="1" ht="39" customHeight="1" x14ac:dyDescent="0.25">
      <c r="A13" s="268"/>
      <c r="B13" s="308" t="s">
        <v>53</v>
      </c>
      <c r="C13" s="309" t="s">
        <v>281</v>
      </c>
      <c r="D13" s="271">
        <v>3518</v>
      </c>
      <c r="E13" s="271">
        <v>3247</v>
      </c>
      <c r="F13" s="275">
        <v>16947</v>
      </c>
      <c r="G13" s="275">
        <v>3503.24</v>
      </c>
      <c r="H13" s="275">
        <v>3541.8999999999996</v>
      </c>
      <c r="I13" s="275">
        <v>2787.6</v>
      </c>
      <c r="J13" s="275">
        <v>3489</v>
      </c>
      <c r="K13" s="275">
        <f>G13+H13+I13</f>
        <v>9832.74</v>
      </c>
      <c r="L13" s="275">
        <f>3297</f>
        <v>3297</v>
      </c>
      <c r="M13" s="275">
        <f>3247</f>
        <v>3247</v>
      </c>
      <c r="N13" s="275">
        <f>G13+H13+J13+L13+M13</f>
        <v>17078.14</v>
      </c>
      <c r="O13" s="275">
        <f t="shared" ref="O13:O75" si="3">K13/D13%</f>
        <v>279.49801023308697</v>
      </c>
      <c r="P13" s="312">
        <f t="shared" ref="P13:P75" si="4">K13/F13%</f>
        <v>58.0205346078952</v>
      </c>
      <c r="Q13" s="312">
        <f t="shared" ref="Q13:Q75" si="5">N13/F13%</f>
        <v>100.77382427568301</v>
      </c>
      <c r="R13" s="313"/>
      <c r="S13" s="313" t="s">
        <v>339</v>
      </c>
      <c r="T13" s="273"/>
    </row>
    <row r="14" spans="1:20" s="274" customFormat="1" ht="39" customHeight="1" x14ac:dyDescent="0.25">
      <c r="A14" s="268"/>
      <c r="B14" s="308" t="s">
        <v>54</v>
      </c>
      <c r="C14" s="309" t="s">
        <v>281</v>
      </c>
      <c r="D14" s="271">
        <v>746</v>
      </c>
      <c r="E14" s="271">
        <v>780</v>
      </c>
      <c r="F14" s="275">
        <v>3760</v>
      </c>
      <c r="G14" s="275">
        <v>728</v>
      </c>
      <c r="H14" s="275">
        <v>762.3</v>
      </c>
      <c r="I14" s="275">
        <v>91</v>
      </c>
      <c r="J14" s="275">
        <v>762.8</v>
      </c>
      <c r="K14" s="275">
        <f>+G14+H14+I14</f>
        <v>1581.3</v>
      </c>
      <c r="L14" s="275">
        <f>760</f>
        <v>760</v>
      </c>
      <c r="M14" s="275">
        <f>780</f>
        <v>780</v>
      </c>
      <c r="N14" s="275">
        <f>G14+H14+J14+L14+M14</f>
        <v>3793.1</v>
      </c>
      <c r="O14" s="275">
        <f t="shared" si="3"/>
        <v>211.97050938337802</v>
      </c>
      <c r="P14" s="275">
        <f t="shared" si="4"/>
        <v>42.055851063829785</v>
      </c>
      <c r="Q14" s="275">
        <f t="shared" si="5"/>
        <v>100.88031914893617</v>
      </c>
      <c r="R14" s="313"/>
      <c r="S14" s="313" t="s">
        <v>339</v>
      </c>
      <c r="T14" s="273"/>
    </row>
    <row r="15" spans="1:20" s="315" customFormat="1" ht="39" customHeight="1" x14ac:dyDescent="0.25">
      <c r="A15" s="281">
        <v>1</v>
      </c>
      <c r="B15" s="285" t="s">
        <v>3</v>
      </c>
      <c r="C15" s="314" t="s">
        <v>285</v>
      </c>
      <c r="D15" s="283">
        <v>8576</v>
      </c>
      <c r="E15" s="283">
        <v>7558</v>
      </c>
      <c r="F15" s="284">
        <v>40064</v>
      </c>
      <c r="G15" s="284">
        <v>8728.7000000000007</v>
      </c>
      <c r="H15" s="284">
        <v>8744.36</v>
      </c>
      <c r="I15" s="284"/>
      <c r="J15" s="284">
        <v>8557</v>
      </c>
      <c r="K15" s="284">
        <f>+G15+H15+I15</f>
        <v>17473.060000000001</v>
      </c>
      <c r="L15" s="284">
        <f>7566</f>
        <v>7566</v>
      </c>
      <c r="M15" s="284">
        <f>7558</f>
        <v>7558</v>
      </c>
      <c r="N15" s="284">
        <f>G15+H15+J15+L15+M15</f>
        <v>41154.06</v>
      </c>
      <c r="O15" s="275">
        <f t="shared" si="3"/>
        <v>203.74370335820896</v>
      </c>
      <c r="P15" s="275">
        <f t="shared" si="4"/>
        <v>43.612869408945691</v>
      </c>
      <c r="Q15" s="275">
        <f t="shared" si="5"/>
        <v>102.72079672523961</v>
      </c>
      <c r="R15" s="289"/>
      <c r="S15" s="289" t="s">
        <v>339</v>
      </c>
      <c r="T15" s="285"/>
    </row>
    <row r="16" spans="1:20" s="326" customFormat="1" ht="35.25" customHeight="1" x14ac:dyDescent="0.25">
      <c r="A16" s="293"/>
      <c r="B16" s="333" t="s">
        <v>55</v>
      </c>
      <c r="C16" s="314" t="s">
        <v>285</v>
      </c>
      <c r="D16" s="275">
        <f>2841+56.4</f>
        <v>2897.4</v>
      </c>
      <c r="E16" s="275">
        <v>1913</v>
      </c>
      <c r="F16" s="275">
        <v>11853</v>
      </c>
      <c r="G16" s="320">
        <v>2695.9</v>
      </c>
      <c r="H16" s="327">
        <v>2768</v>
      </c>
      <c r="I16" s="275"/>
      <c r="J16" s="275">
        <v>2729</v>
      </c>
      <c r="K16" s="275">
        <f t="shared" ref="K16:K17" si="6">+G16+H16+I16</f>
        <v>5463.9</v>
      </c>
      <c r="L16" s="275">
        <f>2127</f>
        <v>2127</v>
      </c>
      <c r="M16" s="275">
        <f>1913</f>
        <v>1913</v>
      </c>
      <c r="N16" s="275">
        <f>G16+H16+J16+L16+M16</f>
        <v>12232.9</v>
      </c>
      <c r="O16" s="275">
        <f t="shared" si="3"/>
        <v>188.57941602816317</v>
      </c>
      <c r="P16" s="275">
        <f t="shared" si="4"/>
        <v>46.097190584662108</v>
      </c>
      <c r="Q16" s="275">
        <f t="shared" si="5"/>
        <v>103.2050957563486</v>
      </c>
      <c r="R16" s="324"/>
      <c r="S16" s="324" t="s">
        <v>339</v>
      </c>
      <c r="T16" s="325"/>
    </row>
    <row r="17" spans="1:20" s="329" customFormat="1" ht="35.25" customHeight="1" x14ac:dyDescent="0.25">
      <c r="A17" s="293"/>
      <c r="B17" s="333" t="s">
        <v>56</v>
      </c>
      <c r="C17" s="314" t="s">
        <v>285</v>
      </c>
      <c r="D17" s="275">
        <v>5678.6</v>
      </c>
      <c r="E17" s="275">
        <v>5644</v>
      </c>
      <c r="F17" s="275">
        <v>28211</v>
      </c>
      <c r="G17" s="275">
        <v>6000.3</v>
      </c>
      <c r="H17" s="275">
        <v>5951.3050000000003</v>
      </c>
      <c r="I17" s="275"/>
      <c r="J17" s="275">
        <v>5828</v>
      </c>
      <c r="K17" s="275">
        <f t="shared" si="6"/>
        <v>11951.605</v>
      </c>
      <c r="L17" s="275">
        <f>5439</f>
        <v>5439</v>
      </c>
      <c r="M17" s="275">
        <f>5644</f>
        <v>5644</v>
      </c>
      <c r="N17" s="275">
        <f>G17+H17+J17+L17+M17</f>
        <v>28862.605</v>
      </c>
      <c r="O17" s="275">
        <f t="shared" si="3"/>
        <v>210.46745676751311</v>
      </c>
      <c r="P17" s="275">
        <f t="shared" si="4"/>
        <v>42.365052639041508</v>
      </c>
      <c r="Q17" s="275">
        <f t="shared" si="5"/>
        <v>102.30975506008294</v>
      </c>
      <c r="R17" s="324"/>
      <c r="S17" s="324" t="s">
        <v>339</v>
      </c>
      <c r="T17" s="325"/>
    </row>
    <row r="18" spans="1:20" s="146" customFormat="1" ht="35.25" customHeight="1" x14ac:dyDescent="0.25">
      <c r="A18" s="89">
        <v>2</v>
      </c>
      <c r="B18" s="98" t="s">
        <v>57</v>
      </c>
      <c r="C18" s="30"/>
      <c r="D18" s="43"/>
      <c r="E18" s="43"/>
      <c r="F18" s="43"/>
      <c r="G18" s="98"/>
      <c r="H18" s="98"/>
      <c r="I18" s="191"/>
      <c r="J18" s="191"/>
      <c r="K18" s="191"/>
      <c r="L18" s="118"/>
      <c r="M18" s="118"/>
      <c r="N18" s="118"/>
      <c r="O18" s="111"/>
      <c r="P18" s="192"/>
      <c r="Q18" s="192"/>
      <c r="R18" s="199"/>
      <c r="S18" s="199"/>
      <c r="T18" s="98"/>
    </row>
    <row r="19" spans="1:20" s="146" customFormat="1" ht="35.25" customHeight="1" x14ac:dyDescent="0.25">
      <c r="A19" s="89" t="s">
        <v>58</v>
      </c>
      <c r="B19" s="98" t="s">
        <v>59</v>
      </c>
      <c r="C19" s="30"/>
      <c r="D19" s="43"/>
      <c r="E19" s="43"/>
      <c r="F19" s="43"/>
      <c r="G19" s="98"/>
      <c r="H19" s="98"/>
      <c r="I19" s="191"/>
      <c r="J19" s="191"/>
      <c r="K19" s="191"/>
      <c r="L19" s="118"/>
      <c r="M19" s="118"/>
      <c r="N19" s="118"/>
      <c r="O19" s="111"/>
      <c r="P19" s="192"/>
      <c r="Q19" s="192"/>
      <c r="R19" s="199"/>
      <c r="S19" s="199"/>
      <c r="T19" s="98"/>
    </row>
    <row r="20" spans="1:20" s="146" customFormat="1" ht="35.25" customHeight="1" x14ac:dyDescent="0.25">
      <c r="A20" s="22"/>
      <c r="B20" s="360" t="s">
        <v>60</v>
      </c>
      <c r="D20" s="105"/>
      <c r="E20" s="100"/>
      <c r="F20" s="100"/>
      <c r="G20" s="100"/>
      <c r="H20" s="100"/>
      <c r="I20" s="118"/>
      <c r="J20" s="118"/>
      <c r="K20" s="118"/>
      <c r="L20" s="118"/>
      <c r="M20" s="118"/>
      <c r="N20" s="118"/>
      <c r="O20" s="111"/>
      <c r="P20" s="192"/>
      <c r="Q20" s="192"/>
      <c r="R20" s="199"/>
      <c r="S20" s="199"/>
      <c r="T20" s="100"/>
    </row>
    <row r="21" spans="1:20" s="329" customFormat="1" ht="35.25" customHeight="1" x14ac:dyDescent="0.25">
      <c r="A21" s="293"/>
      <c r="B21" s="321" t="s">
        <v>61</v>
      </c>
      <c r="C21" s="314" t="s">
        <v>283</v>
      </c>
      <c r="D21" s="322">
        <f>541.5+12</f>
        <v>553.5</v>
      </c>
      <c r="E21" s="275">
        <v>372</v>
      </c>
      <c r="F21" s="275">
        <v>2294</v>
      </c>
      <c r="G21" s="325">
        <f>517.8+6.3</f>
        <v>524.09999999999991</v>
      </c>
      <c r="H21" s="325">
        <v>523</v>
      </c>
      <c r="I21" s="323">
        <v>510.5</v>
      </c>
      <c r="J21" s="323">
        <v>515.5</v>
      </c>
      <c r="K21" s="275">
        <f t="shared" ref="K21:K25" si="7">+G21+H21+I21</f>
        <v>1557.6</v>
      </c>
      <c r="L21" s="320">
        <f>412</f>
        <v>412</v>
      </c>
      <c r="M21" s="320">
        <f>372</f>
        <v>372</v>
      </c>
      <c r="N21" s="275">
        <f>G21+H21+J21+L21+M21</f>
        <v>2346.6</v>
      </c>
      <c r="O21" s="327">
        <f t="shared" si="3"/>
        <v>281.40921409214087</v>
      </c>
      <c r="P21" s="328">
        <f t="shared" si="4"/>
        <v>67.898866608544026</v>
      </c>
      <c r="Q21" s="328">
        <f t="shared" si="5"/>
        <v>102.2929380993897</v>
      </c>
      <c r="R21" s="324"/>
      <c r="S21" s="324" t="s">
        <v>339</v>
      </c>
      <c r="T21" s="325"/>
    </row>
    <row r="22" spans="1:20" s="146" customFormat="1" ht="35.25" customHeight="1" x14ac:dyDescent="0.25">
      <c r="A22" s="22"/>
      <c r="B22" s="240" t="s">
        <v>62</v>
      </c>
      <c r="C22" s="27" t="s">
        <v>284</v>
      </c>
      <c r="D22" s="105">
        <v>52.5</v>
      </c>
      <c r="E22" s="105">
        <v>53.131176215273115</v>
      </c>
      <c r="F22" s="105">
        <v>53.131176215273115</v>
      </c>
      <c r="G22" s="100">
        <v>52</v>
      </c>
      <c r="H22" s="100">
        <v>53</v>
      </c>
      <c r="I22" s="118"/>
      <c r="J22" s="125">
        <v>53</v>
      </c>
      <c r="K22" s="292"/>
      <c r="L22" s="125">
        <v>53</v>
      </c>
      <c r="M22" s="125">
        <v>53</v>
      </c>
      <c r="N22" s="125">
        <f>M22</f>
        <v>53</v>
      </c>
      <c r="O22" s="111">
        <f t="shared" si="3"/>
        <v>0</v>
      </c>
      <c r="P22" s="192">
        <f t="shared" si="4"/>
        <v>0</v>
      </c>
      <c r="Q22" s="192">
        <f t="shared" si="5"/>
        <v>99.753108768490989</v>
      </c>
      <c r="R22" s="199"/>
      <c r="S22" s="199" t="s">
        <v>339</v>
      </c>
      <c r="T22" s="100"/>
    </row>
    <row r="23" spans="1:20" s="329" customFormat="1" ht="35.25" customHeight="1" x14ac:dyDescent="0.25">
      <c r="A23" s="293"/>
      <c r="B23" s="321" t="s">
        <v>63</v>
      </c>
      <c r="C23" s="314" t="s">
        <v>285</v>
      </c>
      <c r="D23" s="275">
        <v>2897.4</v>
      </c>
      <c r="E23" s="275">
        <v>1980</v>
      </c>
      <c r="F23" s="275">
        <v>12186</v>
      </c>
      <c r="G23" s="320">
        <v>2695.9</v>
      </c>
      <c r="H23" s="327">
        <v>2768</v>
      </c>
      <c r="I23" s="323"/>
      <c r="J23" s="275">
        <v>2729</v>
      </c>
      <c r="K23" s="275">
        <f t="shared" si="7"/>
        <v>5463.9</v>
      </c>
      <c r="L23" s="320">
        <f>2194</f>
        <v>2194</v>
      </c>
      <c r="M23" s="320">
        <f>1980</f>
        <v>1980</v>
      </c>
      <c r="N23" s="275">
        <f>G23+H23+J23+L23+M23</f>
        <v>12366.9</v>
      </c>
      <c r="O23" s="327">
        <f t="shared" si="3"/>
        <v>188.57941602816317</v>
      </c>
      <c r="P23" s="328">
        <f t="shared" si="4"/>
        <v>44.83751846381093</v>
      </c>
      <c r="Q23" s="328">
        <f t="shared" si="5"/>
        <v>101.48449039881831</v>
      </c>
      <c r="R23" s="324"/>
      <c r="S23" s="324" t="s">
        <v>339</v>
      </c>
      <c r="T23" s="325"/>
    </row>
    <row r="24" spans="1:20" s="146" customFormat="1" ht="30.75" customHeight="1" x14ac:dyDescent="0.25">
      <c r="A24" s="22"/>
      <c r="B24" s="360" t="s">
        <v>64</v>
      </c>
      <c r="D24" s="105"/>
      <c r="E24" s="100"/>
      <c r="F24" s="100"/>
      <c r="G24" s="100"/>
      <c r="H24" s="100"/>
      <c r="I24" s="118"/>
      <c r="J24" s="118"/>
      <c r="K24" s="118"/>
      <c r="L24" s="118"/>
      <c r="M24" s="118"/>
      <c r="N24" s="118"/>
      <c r="O24" s="111"/>
      <c r="P24" s="192"/>
      <c r="Q24" s="192"/>
      <c r="R24" s="199"/>
      <c r="S24" s="199"/>
      <c r="T24" s="100"/>
    </row>
    <row r="25" spans="1:20" s="326" customFormat="1" ht="30.75" customHeight="1" x14ac:dyDescent="0.25">
      <c r="A25" s="293"/>
      <c r="B25" s="321" t="s">
        <v>61</v>
      </c>
      <c r="C25" s="314" t="s">
        <v>283</v>
      </c>
      <c r="D25" s="322">
        <v>1268.2</v>
      </c>
      <c r="E25" s="275">
        <v>1168</v>
      </c>
      <c r="F25" s="275">
        <v>6027</v>
      </c>
      <c r="G25" s="323">
        <v>1284.0999999999999</v>
      </c>
      <c r="H25" s="323">
        <v>1275.9000000000001</v>
      </c>
      <c r="I25" s="323">
        <v>646.9</v>
      </c>
      <c r="J25" s="323">
        <v>1178.4000000000001</v>
      </c>
      <c r="K25" s="275">
        <f t="shared" si="7"/>
        <v>3206.9</v>
      </c>
      <c r="L25" s="319">
        <f>1148</f>
        <v>1148</v>
      </c>
      <c r="M25" s="319">
        <f>1168</f>
        <v>1168</v>
      </c>
      <c r="N25" s="275">
        <f>G25+H25+J25+L25+M25</f>
        <v>6054.4</v>
      </c>
      <c r="O25" s="327">
        <f t="shared" si="3"/>
        <v>252.87020974609683</v>
      </c>
      <c r="P25" s="328">
        <f t="shared" si="4"/>
        <v>53.208893313422926</v>
      </c>
      <c r="Q25" s="328">
        <f t="shared" si="5"/>
        <v>100.45462087273933</v>
      </c>
      <c r="R25" s="324"/>
      <c r="S25" s="324" t="s">
        <v>339</v>
      </c>
      <c r="T25" s="325"/>
    </row>
    <row r="26" spans="1:20" s="2" customFormat="1" ht="30.75" customHeight="1" x14ac:dyDescent="0.25">
      <c r="A26" s="14"/>
      <c r="B26" s="38" t="s">
        <v>62</v>
      </c>
      <c r="C26" s="27" t="s">
        <v>284</v>
      </c>
      <c r="D26" s="28">
        <v>44.8</v>
      </c>
      <c r="E26" s="28">
        <v>48</v>
      </c>
      <c r="F26" s="105">
        <v>47</v>
      </c>
      <c r="G26" s="13">
        <v>46.7</v>
      </c>
      <c r="H26" s="13">
        <v>46.6</v>
      </c>
      <c r="I26" s="32"/>
      <c r="J26" s="32">
        <v>46.7</v>
      </c>
      <c r="K26" s="118"/>
      <c r="L26" s="36">
        <v>47</v>
      </c>
      <c r="M26" s="291">
        <v>48</v>
      </c>
      <c r="N26" s="36">
        <f>+M26</f>
        <v>48</v>
      </c>
      <c r="O26" s="40">
        <f t="shared" si="3"/>
        <v>0</v>
      </c>
      <c r="P26" s="148">
        <f t="shared" si="4"/>
        <v>0</v>
      </c>
      <c r="Q26" s="148">
        <f t="shared" si="5"/>
        <v>102.1276595744681</v>
      </c>
      <c r="R26" s="197"/>
      <c r="S26" s="197" t="s">
        <v>339</v>
      </c>
      <c r="T26" s="13"/>
    </row>
    <row r="27" spans="1:20" s="329" customFormat="1" ht="30.75" customHeight="1" x14ac:dyDescent="0.25">
      <c r="A27" s="293"/>
      <c r="B27" s="321" t="s">
        <v>63</v>
      </c>
      <c r="C27" s="314" t="s">
        <v>285</v>
      </c>
      <c r="D27" s="275">
        <v>5678.2</v>
      </c>
      <c r="E27" s="275">
        <v>5644</v>
      </c>
      <c r="F27" s="275">
        <v>28211</v>
      </c>
      <c r="G27" s="319">
        <v>6000.3</v>
      </c>
      <c r="H27" s="319">
        <v>5951.3</v>
      </c>
      <c r="I27" s="323"/>
      <c r="J27" s="320">
        <v>5828</v>
      </c>
      <c r="K27" s="319">
        <f>G27+H27+I27</f>
        <v>11951.6</v>
      </c>
      <c r="L27" s="319">
        <f>5439</f>
        <v>5439</v>
      </c>
      <c r="M27" s="319">
        <f>5644</f>
        <v>5644</v>
      </c>
      <c r="N27" s="275">
        <f>G27+H27+J27+L27+M27</f>
        <v>28862.6</v>
      </c>
      <c r="O27" s="311">
        <f t="shared" si="3"/>
        <v>210.48219506181539</v>
      </c>
      <c r="P27" s="312">
        <f t="shared" si="4"/>
        <v>42.365034915458509</v>
      </c>
      <c r="Q27" s="312">
        <f t="shared" si="5"/>
        <v>102.30973733649994</v>
      </c>
      <c r="R27" s="324"/>
      <c r="S27" s="324" t="s">
        <v>339</v>
      </c>
      <c r="T27" s="325"/>
    </row>
    <row r="28" spans="1:20" s="2" customFormat="1" ht="30.75" customHeight="1" x14ac:dyDescent="0.25">
      <c r="A28" s="6" t="s">
        <v>16</v>
      </c>
      <c r="B28" s="8" t="s">
        <v>65</v>
      </c>
      <c r="C28" s="10"/>
      <c r="D28" s="34"/>
      <c r="E28" s="8"/>
      <c r="F28" s="98"/>
      <c r="G28" s="8"/>
      <c r="H28" s="8"/>
      <c r="I28" s="47"/>
      <c r="J28" s="47"/>
      <c r="K28" s="191"/>
      <c r="L28" s="32"/>
      <c r="M28" s="32"/>
      <c r="N28" s="32"/>
      <c r="O28" s="40"/>
      <c r="P28" s="148"/>
      <c r="Q28" s="148"/>
      <c r="R28" s="197"/>
      <c r="S28" s="224"/>
      <c r="T28" s="8"/>
    </row>
    <row r="29" spans="1:20" s="2" customFormat="1" ht="30.75" customHeight="1" x14ac:dyDescent="0.25">
      <c r="A29" s="14"/>
      <c r="B29" s="37" t="s">
        <v>66</v>
      </c>
      <c r="C29" s="27"/>
      <c r="D29" s="28"/>
      <c r="E29" s="13"/>
      <c r="F29" s="100"/>
      <c r="G29" s="13"/>
      <c r="H29" s="13"/>
      <c r="I29" s="32"/>
      <c r="J29" s="32"/>
      <c r="K29" s="118"/>
      <c r="L29" s="32"/>
      <c r="M29" s="32"/>
      <c r="N29" s="32"/>
      <c r="O29" s="40"/>
      <c r="P29" s="148"/>
      <c r="Q29" s="148"/>
      <c r="R29" s="197"/>
      <c r="S29" s="197"/>
      <c r="T29" s="13"/>
    </row>
    <row r="30" spans="1:20" s="274" customFormat="1" ht="30.75" customHeight="1" x14ac:dyDescent="0.25">
      <c r="A30" s="268"/>
      <c r="B30" s="316" t="s">
        <v>61</v>
      </c>
      <c r="C30" s="314" t="s">
        <v>283</v>
      </c>
      <c r="D30" s="271">
        <v>101</v>
      </c>
      <c r="E30" s="271">
        <v>100</v>
      </c>
      <c r="F30" s="275">
        <v>500</v>
      </c>
      <c r="G30" s="273">
        <v>81</v>
      </c>
      <c r="H30" s="273">
        <v>66</v>
      </c>
      <c r="I30" s="310">
        <v>31</v>
      </c>
      <c r="J30" s="310">
        <v>31</v>
      </c>
      <c r="K30" s="319">
        <f>G30+H30+I30</f>
        <v>178</v>
      </c>
      <c r="L30" s="275">
        <f>31</f>
        <v>31</v>
      </c>
      <c r="M30" s="275">
        <f>31</f>
        <v>31</v>
      </c>
      <c r="N30" s="275">
        <f>G30+H30+J30+L30+M30</f>
        <v>240</v>
      </c>
      <c r="O30" s="311">
        <f t="shared" si="3"/>
        <v>176.23762376237624</v>
      </c>
      <c r="P30" s="312">
        <f t="shared" si="4"/>
        <v>35.6</v>
      </c>
      <c r="Q30" s="312">
        <f t="shared" si="5"/>
        <v>48</v>
      </c>
      <c r="R30" s="313"/>
      <c r="S30" s="313"/>
      <c r="T30" s="273"/>
    </row>
    <row r="31" spans="1:20" s="2" customFormat="1" ht="30.75" customHeight="1" x14ac:dyDescent="0.25">
      <c r="A31" s="14"/>
      <c r="B31" s="38" t="s">
        <v>62</v>
      </c>
      <c r="C31" s="27" t="s">
        <v>284</v>
      </c>
      <c r="D31" s="28">
        <v>11</v>
      </c>
      <c r="E31" s="28">
        <v>10</v>
      </c>
      <c r="F31" s="105">
        <v>10</v>
      </c>
      <c r="G31" s="13">
        <v>11</v>
      </c>
      <c r="H31" s="18">
        <v>11.015151515151516</v>
      </c>
      <c r="I31" s="32">
        <v>3.3</v>
      </c>
      <c r="J31" s="36">
        <v>11</v>
      </c>
      <c r="K31" s="125"/>
      <c r="L31" s="105">
        <v>10</v>
      </c>
      <c r="M31" s="105">
        <v>10</v>
      </c>
      <c r="N31" s="36">
        <v>10</v>
      </c>
      <c r="O31" s="40">
        <f t="shared" si="3"/>
        <v>0</v>
      </c>
      <c r="P31" s="148">
        <f t="shared" si="4"/>
        <v>0</v>
      </c>
      <c r="Q31" s="148">
        <f t="shared" si="5"/>
        <v>100</v>
      </c>
      <c r="R31" s="197"/>
      <c r="S31" s="197" t="s">
        <v>339</v>
      </c>
      <c r="T31" s="13"/>
    </row>
    <row r="32" spans="1:20" s="274" customFormat="1" ht="30.75" customHeight="1" x14ac:dyDescent="0.25">
      <c r="A32" s="268"/>
      <c r="B32" s="316" t="s">
        <v>63</v>
      </c>
      <c r="C32" s="314" t="s">
        <v>285</v>
      </c>
      <c r="D32" s="317">
        <v>110.8</v>
      </c>
      <c r="E32" s="271">
        <v>101</v>
      </c>
      <c r="F32" s="275">
        <v>516</v>
      </c>
      <c r="G32" s="273">
        <v>89.5</v>
      </c>
      <c r="H32" s="273">
        <v>72.7</v>
      </c>
      <c r="I32" s="318">
        <v>10.1</v>
      </c>
      <c r="J32" s="318">
        <v>33.5</v>
      </c>
      <c r="K32" s="319">
        <f>G32+H32+I32</f>
        <v>172.29999999999998</v>
      </c>
      <c r="L32" s="275">
        <f>101</f>
        <v>101</v>
      </c>
      <c r="M32" s="275">
        <f>101</f>
        <v>101</v>
      </c>
      <c r="N32" s="275">
        <f>G32+H32+J32+L32+M32</f>
        <v>397.7</v>
      </c>
      <c r="O32" s="311">
        <f t="shared" si="3"/>
        <v>155.50541516245488</v>
      </c>
      <c r="P32" s="312">
        <f t="shared" si="4"/>
        <v>33.391472868217051</v>
      </c>
      <c r="Q32" s="312">
        <f t="shared" si="5"/>
        <v>77.073643410852711</v>
      </c>
      <c r="R32" s="313"/>
      <c r="S32" s="313"/>
      <c r="T32" s="273"/>
    </row>
    <row r="33" spans="1:20" s="2" customFormat="1" ht="30.75" customHeight="1" x14ac:dyDescent="0.25">
      <c r="A33" s="14"/>
      <c r="B33" s="37" t="s">
        <v>67</v>
      </c>
      <c r="C33" s="27"/>
      <c r="D33" s="28"/>
      <c r="E33" s="13"/>
      <c r="F33" s="100"/>
      <c r="G33" s="13"/>
      <c r="H33" s="13"/>
      <c r="I33" s="32"/>
      <c r="J33" s="118"/>
      <c r="K33" s="118"/>
      <c r="L33" s="118"/>
      <c r="M33" s="32"/>
      <c r="N33" s="32"/>
      <c r="O33" s="40"/>
      <c r="P33" s="148"/>
      <c r="Q33" s="148"/>
      <c r="R33" s="197"/>
      <c r="S33" s="197"/>
      <c r="T33" s="13"/>
    </row>
    <row r="34" spans="1:20" s="315" customFormat="1" ht="30.75" customHeight="1" x14ac:dyDescent="0.25">
      <c r="A34" s="268"/>
      <c r="B34" s="316" t="s">
        <v>61</v>
      </c>
      <c r="C34" s="314" t="s">
        <v>283</v>
      </c>
      <c r="D34" s="271">
        <v>75</v>
      </c>
      <c r="E34" s="271">
        <v>95</v>
      </c>
      <c r="F34" s="275">
        <v>431</v>
      </c>
      <c r="G34" s="273">
        <v>53</v>
      </c>
      <c r="H34" s="273">
        <v>29</v>
      </c>
      <c r="I34" s="275">
        <v>16</v>
      </c>
      <c r="J34" s="275">
        <v>17</v>
      </c>
      <c r="K34" s="320">
        <f>G34+H34+I34</f>
        <v>98</v>
      </c>
      <c r="L34" s="275">
        <f>92</f>
        <v>92</v>
      </c>
      <c r="M34" s="275">
        <f>95</f>
        <v>95</v>
      </c>
      <c r="N34" s="275">
        <f>G34+H34+J34+L34+M34</f>
        <v>286</v>
      </c>
      <c r="O34" s="311">
        <f t="shared" si="3"/>
        <v>130.66666666666666</v>
      </c>
      <c r="P34" s="312">
        <f t="shared" si="4"/>
        <v>22.737819025522043</v>
      </c>
      <c r="Q34" s="312">
        <f t="shared" si="5"/>
        <v>66.357308584686777</v>
      </c>
      <c r="R34" s="313"/>
      <c r="S34" s="313"/>
      <c r="T34" s="273"/>
    </row>
    <row r="35" spans="1:20" s="274" customFormat="1" ht="30.75" customHeight="1" x14ac:dyDescent="0.25">
      <c r="A35" s="268"/>
      <c r="B35" s="316" t="s">
        <v>62</v>
      </c>
      <c r="C35" s="314" t="s">
        <v>284</v>
      </c>
      <c r="D35" s="317">
        <v>9.5</v>
      </c>
      <c r="E35" s="271">
        <v>9</v>
      </c>
      <c r="F35" s="275"/>
      <c r="G35" s="273">
        <v>9.4</v>
      </c>
      <c r="H35" s="330">
        <v>9.4689655172413794</v>
      </c>
      <c r="I35" s="318"/>
      <c r="J35" s="318">
        <v>9.6</v>
      </c>
      <c r="K35" s="320">
        <f>G35+H35+I35</f>
        <v>18.868965517241378</v>
      </c>
      <c r="L35" s="275">
        <f>9</f>
        <v>9</v>
      </c>
      <c r="M35" s="275">
        <f>9</f>
        <v>9</v>
      </c>
      <c r="N35" s="275">
        <f>G35+H35+J35+L35+M35</f>
        <v>46.468965517241379</v>
      </c>
      <c r="O35" s="311">
        <f t="shared" si="3"/>
        <v>198.62068965517238</v>
      </c>
      <c r="P35" s="312"/>
      <c r="Q35" s="312"/>
      <c r="R35" s="313"/>
      <c r="S35" s="313"/>
      <c r="T35" s="273"/>
    </row>
    <row r="36" spans="1:20" s="274" customFormat="1" ht="30.75" customHeight="1" x14ac:dyDescent="0.25">
      <c r="A36" s="268"/>
      <c r="B36" s="316" t="s">
        <v>63</v>
      </c>
      <c r="C36" s="314" t="s">
        <v>285</v>
      </c>
      <c r="D36" s="271">
        <v>71</v>
      </c>
      <c r="E36" s="271">
        <v>86</v>
      </c>
      <c r="F36" s="275">
        <v>387</v>
      </c>
      <c r="G36" s="273">
        <v>49.8</v>
      </c>
      <c r="H36" s="330">
        <v>27.46</v>
      </c>
      <c r="I36" s="318"/>
      <c r="J36" s="275">
        <v>16</v>
      </c>
      <c r="K36" s="320">
        <f>G36+H36+I36</f>
        <v>77.259999999999991</v>
      </c>
      <c r="L36" s="275">
        <f>83</f>
        <v>83</v>
      </c>
      <c r="M36" s="275">
        <f>86</f>
        <v>86</v>
      </c>
      <c r="N36" s="275">
        <f>G36+H36+J36+L36+M36</f>
        <v>262.26</v>
      </c>
      <c r="O36" s="311">
        <f t="shared" si="3"/>
        <v>108.81690140845069</v>
      </c>
      <c r="P36" s="312">
        <f t="shared" si="4"/>
        <v>19.963824289405682</v>
      </c>
      <c r="Q36" s="312">
        <f t="shared" si="5"/>
        <v>67.767441860465112</v>
      </c>
      <c r="R36" s="313"/>
      <c r="S36" s="313"/>
      <c r="T36" s="273"/>
    </row>
    <row r="37" spans="1:20" s="2" customFormat="1" ht="30.75" customHeight="1" x14ac:dyDescent="0.25">
      <c r="A37" s="6" t="s">
        <v>68</v>
      </c>
      <c r="B37" s="8" t="s">
        <v>69</v>
      </c>
      <c r="C37" s="30"/>
      <c r="D37" s="34"/>
      <c r="E37" s="34"/>
      <c r="F37" s="43"/>
      <c r="G37" s="8"/>
      <c r="H37" s="8"/>
      <c r="I37" s="47"/>
      <c r="J37" s="47"/>
      <c r="K37" s="191"/>
      <c r="L37" s="32"/>
      <c r="M37" s="32"/>
      <c r="N37" s="32"/>
      <c r="O37" s="40"/>
      <c r="P37" s="148"/>
      <c r="Q37" s="148"/>
      <c r="R37" s="197"/>
      <c r="S37" s="197"/>
      <c r="T37" s="8"/>
    </row>
    <row r="38" spans="1:20" s="2" customFormat="1" ht="30.75" customHeight="1" x14ac:dyDescent="0.25">
      <c r="A38" s="14"/>
      <c r="B38" s="37" t="s">
        <v>70</v>
      </c>
      <c r="C38" s="27"/>
      <c r="D38" s="28"/>
      <c r="E38" s="13"/>
      <c r="F38" s="100"/>
      <c r="G38" s="13"/>
      <c r="H38" s="13"/>
      <c r="I38" s="32"/>
      <c r="J38" s="32"/>
      <c r="K38" s="118"/>
      <c r="L38" s="32"/>
      <c r="M38" s="32"/>
      <c r="N38" s="32"/>
      <c r="O38" s="40"/>
      <c r="P38" s="148"/>
      <c r="Q38" s="148"/>
      <c r="R38" s="197"/>
      <c r="S38" s="197"/>
      <c r="T38" s="13"/>
    </row>
    <row r="39" spans="1:20" s="2" customFormat="1" ht="30.75" customHeight="1" x14ac:dyDescent="0.25">
      <c r="A39" s="14"/>
      <c r="B39" s="33" t="s">
        <v>71</v>
      </c>
      <c r="C39" s="27" t="s">
        <v>283</v>
      </c>
      <c r="D39" s="28">
        <v>960</v>
      </c>
      <c r="E39" s="28">
        <v>900</v>
      </c>
      <c r="F39" s="105">
        <v>900</v>
      </c>
      <c r="G39" s="105">
        <v>957.6</v>
      </c>
      <c r="H39" s="105">
        <v>963.45</v>
      </c>
      <c r="I39" s="105">
        <v>963.45</v>
      </c>
      <c r="J39" s="105">
        <v>963.45</v>
      </c>
      <c r="K39" s="105">
        <f>J39</f>
        <v>963.45</v>
      </c>
      <c r="L39" s="105">
        <v>920</v>
      </c>
      <c r="M39" s="105">
        <v>900</v>
      </c>
      <c r="N39" s="105">
        <f>M39</f>
        <v>900</v>
      </c>
      <c r="O39" s="40">
        <f t="shared" si="3"/>
        <v>100.35937500000001</v>
      </c>
      <c r="P39" s="148">
        <f t="shared" si="4"/>
        <v>107.05000000000001</v>
      </c>
      <c r="Q39" s="148">
        <f t="shared" si="5"/>
        <v>100</v>
      </c>
      <c r="R39" s="197" t="s">
        <v>339</v>
      </c>
      <c r="S39" s="197" t="s">
        <v>339</v>
      </c>
      <c r="T39" s="126"/>
    </row>
    <row r="40" spans="1:20" s="146" customFormat="1" ht="30.75" customHeight="1" x14ac:dyDescent="0.25">
      <c r="A40" s="22"/>
      <c r="B40" s="210" t="s">
        <v>72</v>
      </c>
      <c r="C40" s="27" t="s">
        <v>283</v>
      </c>
      <c r="D40" s="105">
        <v>10</v>
      </c>
      <c r="E40" s="105"/>
      <c r="F40" s="105">
        <v>60</v>
      </c>
      <c r="G40" s="105"/>
      <c r="H40" s="241">
        <v>10.45</v>
      </c>
      <c r="I40" s="241"/>
      <c r="J40" s="241"/>
      <c r="K40" s="241">
        <f>H40</f>
        <v>10.45</v>
      </c>
      <c r="L40" s="241">
        <f>K40</f>
        <v>10.45</v>
      </c>
      <c r="M40" s="241">
        <f>L40</f>
        <v>10.45</v>
      </c>
      <c r="N40" s="105">
        <f t="shared" ref="N40:N42" si="8">M40</f>
        <v>10.45</v>
      </c>
      <c r="O40" s="40">
        <f t="shared" si="3"/>
        <v>104.49999999999999</v>
      </c>
      <c r="P40" s="148">
        <f t="shared" si="4"/>
        <v>17.416666666666668</v>
      </c>
      <c r="Q40" s="148">
        <f t="shared" si="5"/>
        <v>17.416666666666668</v>
      </c>
      <c r="R40" s="199"/>
      <c r="S40" s="199"/>
      <c r="T40" s="100"/>
    </row>
    <row r="41" spans="1:20" s="2" customFormat="1" ht="30.75" customHeight="1" x14ac:dyDescent="0.25">
      <c r="A41" s="14"/>
      <c r="B41" s="33" t="s">
        <v>73</v>
      </c>
      <c r="C41" s="27" t="s">
        <v>283</v>
      </c>
      <c r="D41" s="28">
        <v>876</v>
      </c>
      <c r="E41" s="28">
        <v>870</v>
      </c>
      <c r="F41" s="105">
        <v>870</v>
      </c>
      <c r="G41" s="105">
        <v>900.9</v>
      </c>
      <c r="H41" s="105">
        <v>940</v>
      </c>
      <c r="I41" s="105">
        <v>950</v>
      </c>
      <c r="J41" s="105">
        <v>950</v>
      </c>
      <c r="K41" s="105">
        <f>J41</f>
        <v>950</v>
      </c>
      <c r="L41" s="105">
        <v>870</v>
      </c>
      <c r="M41" s="105">
        <v>870</v>
      </c>
      <c r="N41" s="105">
        <f t="shared" si="8"/>
        <v>870</v>
      </c>
      <c r="O41" s="40">
        <f t="shared" si="3"/>
        <v>108.44748858447488</v>
      </c>
      <c r="P41" s="148">
        <f t="shared" si="4"/>
        <v>109.19540229885058</v>
      </c>
      <c r="Q41" s="148">
        <f t="shared" si="5"/>
        <v>100.00000000000001</v>
      </c>
      <c r="R41" s="197" t="s">
        <v>339</v>
      </c>
      <c r="S41" s="197" t="s">
        <v>339</v>
      </c>
      <c r="T41" s="13"/>
    </row>
    <row r="42" spans="1:20" s="2" customFormat="1" ht="33" customHeight="1" x14ac:dyDescent="0.25">
      <c r="A42" s="14"/>
      <c r="B42" s="33" t="s">
        <v>62</v>
      </c>
      <c r="C42" s="27" t="s">
        <v>286</v>
      </c>
      <c r="D42" s="28">
        <v>118</v>
      </c>
      <c r="E42" s="28">
        <v>120</v>
      </c>
      <c r="F42" s="105">
        <v>120</v>
      </c>
      <c r="G42" s="105">
        <v>118</v>
      </c>
      <c r="H42" s="105">
        <v>115.9</v>
      </c>
      <c r="I42" s="105">
        <v>52.2</v>
      </c>
      <c r="J42" s="105">
        <v>116</v>
      </c>
      <c r="K42" s="105"/>
      <c r="L42" s="105">
        <v>118</v>
      </c>
      <c r="M42" s="105">
        <v>120</v>
      </c>
      <c r="N42" s="105">
        <f t="shared" si="8"/>
        <v>120</v>
      </c>
      <c r="O42" s="40">
        <f t="shared" si="3"/>
        <v>0</v>
      </c>
      <c r="P42" s="148">
        <f t="shared" si="4"/>
        <v>0</v>
      </c>
      <c r="Q42" s="148">
        <f t="shared" si="5"/>
        <v>100</v>
      </c>
      <c r="R42" s="197"/>
      <c r="S42" s="197" t="s">
        <v>339</v>
      </c>
      <c r="T42" s="13"/>
    </row>
    <row r="43" spans="1:20" s="274" customFormat="1" ht="33" customHeight="1" x14ac:dyDescent="0.25">
      <c r="A43" s="268"/>
      <c r="B43" s="308" t="s">
        <v>74</v>
      </c>
      <c r="C43" s="314" t="s">
        <v>285</v>
      </c>
      <c r="D43" s="271">
        <v>10309</v>
      </c>
      <c r="E43" s="271">
        <v>10440</v>
      </c>
      <c r="F43" s="275">
        <v>50186</v>
      </c>
      <c r="G43" s="275">
        <v>10672</v>
      </c>
      <c r="H43" s="275">
        <v>10892.0548</v>
      </c>
      <c r="I43" s="275">
        <v>4962.5</v>
      </c>
      <c r="J43" s="275">
        <v>10979</v>
      </c>
      <c r="K43" s="275">
        <f>G43+H43+I43</f>
        <v>26526.554799999998</v>
      </c>
      <c r="L43" s="275">
        <f>10266</f>
        <v>10266</v>
      </c>
      <c r="M43" s="275">
        <f>10440</f>
        <v>10440</v>
      </c>
      <c r="N43" s="275">
        <f>G43+H43+J43+L43+M43</f>
        <v>53249.054799999998</v>
      </c>
      <c r="O43" s="311">
        <f t="shared" si="3"/>
        <v>257.3145290522844</v>
      </c>
      <c r="P43" s="312">
        <f t="shared" si="4"/>
        <v>52.856483481449004</v>
      </c>
      <c r="Q43" s="312">
        <f t="shared" si="5"/>
        <v>106.10340493364683</v>
      </c>
      <c r="R43" s="313"/>
      <c r="S43" s="313" t="s">
        <v>339</v>
      </c>
      <c r="T43" s="273"/>
    </row>
    <row r="44" spans="1:20" s="2" customFormat="1" ht="33" customHeight="1" x14ac:dyDescent="0.25">
      <c r="A44" s="14"/>
      <c r="B44" s="37" t="s">
        <v>75</v>
      </c>
      <c r="C44" s="27"/>
      <c r="D44" s="28"/>
      <c r="E44" s="13"/>
      <c r="F44" s="100"/>
      <c r="G44" s="13"/>
      <c r="H44" s="13"/>
      <c r="I44" s="32"/>
      <c r="J44" s="32"/>
      <c r="K44" s="118"/>
      <c r="L44" s="32"/>
      <c r="M44" s="32"/>
      <c r="N44" s="32"/>
      <c r="O44" s="40"/>
      <c r="P44" s="148"/>
      <c r="Q44" s="148"/>
      <c r="R44" s="197"/>
      <c r="S44" s="197"/>
      <c r="T44" s="13"/>
    </row>
    <row r="45" spans="1:20" s="2" customFormat="1" ht="33" customHeight="1" x14ac:dyDescent="0.25">
      <c r="A45" s="14"/>
      <c r="B45" s="33" t="s">
        <v>71</v>
      </c>
      <c r="C45" s="27" t="s">
        <v>283</v>
      </c>
      <c r="D45" s="28">
        <v>280</v>
      </c>
      <c r="E45" s="28">
        <v>308.89999999999998</v>
      </c>
      <c r="F45" s="105">
        <v>308.89999999999998</v>
      </c>
      <c r="G45" s="13">
        <v>280.39999999999998</v>
      </c>
      <c r="H45" s="13">
        <v>280.39999999999998</v>
      </c>
      <c r="I45" s="13">
        <v>280.39999999999998</v>
      </c>
      <c r="J45" s="13">
        <v>280.39999999999998</v>
      </c>
      <c r="K45" s="100">
        <f>I45</f>
        <v>280.39999999999998</v>
      </c>
      <c r="L45" s="100">
        <v>309</v>
      </c>
      <c r="M45" s="100">
        <v>309</v>
      </c>
      <c r="N45" s="100">
        <f>M45</f>
        <v>309</v>
      </c>
      <c r="O45" s="40">
        <f t="shared" si="3"/>
        <v>100.14285714285714</v>
      </c>
      <c r="P45" s="148">
        <f t="shared" si="4"/>
        <v>90.773713175785034</v>
      </c>
      <c r="Q45" s="148">
        <f t="shared" si="5"/>
        <v>100.03237293622531</v>
      </c>
      <c r="R45" s="197"/>
      <c r="S45" s="197" t="s">
        <v>339</v>
      </c>
      <c r="T45" s="13"/>
    </row>
    <row r="46" spans="1:20" s="2" customFormat="1" ht="33" customHeight="1" x14ac:dyDescent="0.25">
      <c r="A46" s="14"/>
      <c r="B46" s="33" t="s">
        <v>76</v>
      </c>
      <c r="C46" s="29" t="s">
        <v>281</v>
      </c>
      <c r="D46" s="39">
        <v>88.8</v>
      </c>
      <c r="E46" s="39">
        <v>88.9</v>
      </c>
      <c r="F46" s="106">
        <v>88.9</v>
      </c>
      <c r="G46" s="13">
        <v>88.9</v>
      </c>
      <c r="H46" s="13">
        <v>88.9</v>
      </c>
      <c r="I46" s="13">
        <v>88.9</v>
      </c>
      <c r="J46" s="13">
        <v>88.9</v>
      </c>
      <c r="K46" s="100">
        <f>I46</f>
        <v>88.9</v>
      </c>
      <c r="L46" s="13">
        <v>88.9</v>
      </c>
      <c r="M46" s="13">
        <v>88.9</v>
      </c>
      <c r="N46" s="13">
        <f>M46</f>
        <v>88.9</v>
      </c>
      <c r="O46" s="40">
        <f t="shared" si="3"/>
        <v>100.11261261261262</v>
      </c>
      <c r="P46" s="148">
        <f t="shared" si="4"/>
        <v>100</v>
      </c>
      <c r="Q46" s="148">
        <f t="shared" si="5"/>
        <v>100</v>
      </c>
      <c r="R46" s="197" t="s">
        <v>339</v>
      </c>
      <c r="S46" s="197" t="s">
        <v>339</v>
      </c>
      <c r="T46" s="13"/>
    </row>
    <row r="47" spans="1:20" s="2" customFormat="1" ht="33" customHeight="1" x14ac:dyDescent="0.25">
      <c r="A47" s="14"/>
      <c r="B47" s="33" t="s">
        <v>78</v>
      </c>
      <c r="C47" s="29" t="s">
        <v>281</v>
      </c>
      <c r="D47" s="28"/>
      <c r="E47" s="28"/>
      <c r="F47" s="105"/>
      <c r="G47" s="13"/>
      <c r="H47" s="13"/>
      <c r="I47" s="32"/>
      <c r="J47" s="32"/>
      <c r="K47" s="118"/>
      <c r="L47" s="32"/>
      <c r="M47" s="32"/>
      <c r="N47" s="32"/>
      <c r="O47" s="40"/>
      <c r="P47" s="148"/>
      <c r="Q47" s="148"/>
      <c r="R47" s="197"/>
      <c r="S47" s="197"/>
      <c r="T47" s="13"/>
    </row>
    <row r="48" spans="1:20" s="2" customFormat="1" ht="33" customHeight="1" x14ac:dyDescent="0.25">
      <c r="A48" s="14"/>
      <c r="B48" s="33" t="s">
        <v>80</v>
      </c>
      <c r="C48" s="29" t="s">
        <v>284</v>
      </c>
      <c r="D48" s="28"/>
      <c r="E48" s="13">
        <v>27</v>
      </c>
      <c r="F48" s="100"/>
      <c r="G48" s="13"/>
      <c r="H48" s="13">
        <v>4.5</v>
      </c>
      <c r="I48" s="32"/>
      <c r="J48" s="36">
        <v>10</v>
      </c>
      <c r="K48" s="292">
        <f>G48+H48+I48</f>
        <v>4.5</v>
      </c>
      <c r="L48" s="291">
        <v>20</v>
      </c>
      <c r="M48" s="291">
        <v>27</v>
      </c>
      <c r="N48" s="291">
        <f>M48</f>
        <v>27</v>
      </c>
      <c r="O48" s="40"/>
      <c r="P48" s="148"/>
      <c r="Q48" s="148"/>
      <c r="R48" s="198"/>
      <c r="S48" s="198"/>
      <c r="T48" s="13"/>
    </row>
    <row r="49" spans="1:20" s="2" customFormat="1" ht="42.75" customHeight="1" x14ac:dyDescent="0.25">
      <c r="A49" s="14"/>
      <c r="B49" s="33" t="s">
        <v>77</v>
      </c>
      <c r="C49" s="29" t="s">
        <v>281</v>
      </c>
      <c r="D49" s="39">
        <v>191.4</v>
      </c>
      <c r="E49" s="28">
        <v>220</v>
      </c>
      <c r="F49" s="105">
        <v>220</v>
      </c>
      <c r="G49" s="13">
        <v>191.5</v>
      </c>
      <c r="H49" s="13">
        <v>191.5</v>
      </c>
      <c r="I49" s="32">
        <v>191.5</v>
      </c>
      <c r="J49" s="32">
        <v>191.5</v>
      </c>
      <c r="K49" s="118">
        <f>+J49</f>
        <v>191.5</v>
      </c>
      <c r="L49" s="291">
        <v>220</v>
      </c>
      <c r="M49" s="291">
        <v>220</v>
      </c>
      <c r="N49" s="291">
        <f>M49</f>
        <v>220</v>
      </c>
      <c r="O49" s="40">
        <f t="shared" si="3"/>
        <v>100.05224660397073</v>
      </c>
      <c r="P49" s="148">
        <f t="shared" si="4"/>
        <v>87.045454545454533</v>
      </c>
      <c r="Q49" s="148">
        <f t="shared" si="5"/>
        <v>99.999999999999986</v>
      </c>
      <c r="R49" s="197"/>
      <c r="S49" s="197" t="s">
        <v>339</v>
      </c>
      <c r="T49" s="13"/>
    </row>
    <row r="50" spans="1:20" s="10" customFormat="1" ht="33" customHeight="1" x14ac:dyDescent="0.25">
      <c r="A50" s="14"/>
      <c r="B50" s="33" t="s">
        <v>79</v>
      </c>
      <c r="C50" s="29" t="s">
        <v>281</v>
      </c>
      <c r="D50" s="28"/>
      <c r="E50" s="28"/>
      <c r="F50" s="105"/>
      <c r="G50" s="13"/>
      <c r="H50" s="13"/>
      <c r="I50" s="32"/>
      <c r="J50" s="32"/>
      <c r="K50" s="118"/>
      <c r="L50" s="32"/>
      <c r="M50" s="32"/>
      <c r="N50" s="32"/>
      <c r="O50" s="40"/>
      <c r="P50" s="148"/>
      <c r="Q50" s="148"/>
      <c r="R50" s="197"/>
      <c r="S50" s="197"/>
      <c r="T50" s="13"/>
    </row>
    <row r="51" spans="1:20" s="2" customFormat="1" ht="36" customHeight="1" x14ac:dyDescent="0.25">
      <c r="A51" s="14"/>
      <c r="B51" s="33" t="s">
        <v>81</v>
      </c>
      <c r="C51" s="29" t="s">
        <v>284</v>
      </c>
      <c r="D51" s="28"/>
      <c r="E51" s="13">
        <v>9</v>
      </c>
      <c r="F51" s="100"/>
      <c r="G51" s="13"/>
      <c r="H51" s="13"/>
      <c r="I51" s="32"/>
      <c r="J51" s="32"/>
      <c r="K51" s="118"/>
      <c r="L51" s="32"/>
      <c r="M51" s="32"/>
      <c r="N51" s="32"/>
      <c r="O51" s="40"/>
      <c r="P51" s="148"/>
      <c r="Q51" s="148"/>
      <c r="R51" s="197"/>
      <c r="S51" s="197"/>
      <c r="T51" s="13"/>
    </row>
    <row r="52" spans="1:20" s="329" customFormat="1" ht="36" customHeight="1" x14ac:dyDescent="0.25">
      <c r="A52" s="293"/>
      <c r="B52" s="332" t="s">
        <v>82</v>
      </c>
      <c r="C52" s="309" t="s">
        <v>285</v>
      </c>
      <c r="D52" s="275"/>
      <c r="E52" s="275">
        <v>420</v>
      </c>
      <c r="F52" s="275">
        <v>872</v>
      </c>
      <c r="G52" s="325">
        <v>16</v>
      </c>
      <c r="H52" s="325">
        <v>13.5</v>
      </c>
      <c r="I52" s="323"/>
      <c r="J52" s="323">
        <v>4.5999999999999996</v>
      </c>
      <c r="K52" s="323">
        <f>G52+H52+I52</f>
        <v>29.5</v>
      </c>
      <c r="L52" s="320">
        <f>305</f>
        <v>305</v>
      </c>
      <c r="M52" s="320">
        <f>420</f>
        <v>420</v>
      </c>
      <c r="N52" s="320">
        <f>+G52+H52+J52+L52+M52</f>
        <v>759.1</v>
      </c>
      <c r="O52" s="311"/>
      <c r="P52" s="312">
        <f t="shared" si="4"/>
        <v>3.3830275229357794</v>
      </c>
      <c r="Q52" s="312">
        <f>N52/F52%</f>
        <v>87.052752293577981</v>
      </c>
      <c r="R52" s="324"/>
      <c r="S52" s="324"/>
      <c r="T52" s="325"/>
    </row>
    <row r="53" spans="1:20" s="2" customFormat="1" ht="38.25" customHeight="1" x14ac:dyDescent="0.25">
      <c r="A53" s="6" t="s">
        <v>83</v>
      </c>
      <c r="B53" s="8" t="s">
        <v>84</v>
      </c>
      <c r="C53" s="41"/>
      <c r="D53" s="34"/>
      <c r="E53" s="8"/>
      <c r="F53" s="98"/>
      <c r="G53" s="8"/>
      <c r="H53" s="8"/>
      <c r="I53" s="47"/>
      <c r="J53" s="47"/>
      <c r="K53" s="191"/>
      <c r="L53" s="32"/>
      <c r="M53" s="32"/>
      <c r="N53" s="32"/>
      <c r="O53" s="40"/>
      <c r="P53" s="148"/>
      <c r="Q53" s="148"/>
      <c r="R53" s="197"/>
      <c r="S53" s="197"/>
      <c r="T53" s="8"/>
    </row>
    <row r="54" spans="1:20" s="10" customFormat="1" ht="41.25" customHeight="1" x14ac:dyDescent="0.25">
      <c r="A54" s="14"/>
      <c r="B54" s="33" t="s">
        <v>71</v>
      </c>
      <c r="C54" s="27" t="s">
        <v>283</v>
      </c>
      <c r="D54" s="28">
        <v>159</v>
      </c>
      <c r="E54" s="28">
        <v>178.97</v>
      </c>
      <c r="F54" s="105">
        <v>178.97</v>
      </c>
      <c r="G54" s="13">
        <v>160.4</v>
      </c>
      <c r="H54" s="13">
        <v>160.4</v>
      </c>
      <c r="I54" s="13">
        <v>160.4</v>
      </c>
      <c r="J54" s="13">
        <v>160.4</v>
      </c>
      <c r="K54" s="100">
        <f>+J54</f>
        <v>160.4</v>
      </c>
      <c r="L54" s="13">
        <v>160.4</v>
      </c>
      <c r="M54" s="13">
        <v>160.4</v>
      </c>
      <c r="N54" s="13">
        <f>M54</f>
        <v>160.4</v>
      </c>
      <c r="O54" s="40">
        <f t="shared" si="3"/>
        <v>100.88050314465409</v>
      </c>
      <c r="P54" s="148">
        <f t="shared" si="4"/>
        <v>89.623959322791535</v>
      </c>
      <c r="Q54" s="148">
        <f t="shared" si="5"/>
        <v>89.623959322791535</v>
      </c>
      <c r="R54" s="197"/>
      <c r="S54" s="197" t="s">
        <v>339</v>
      </c>
      <c r="T54" s="13"/>
    </row>
    <row r="55" spans="1:20" s="2" customFormat="1" ht="41.25" customHeight="1" x14ac:dyDescent="0.25">
      <c r="A55" s="14"/>
      <c r="B55" s="33" t="s">
        <v>72</v>
      </c>
      <c r="C55" s="29" t="s">
        <v>283</v>
      </c>
      <c r="D55" s="28"/>
      <c r="E55" s="28"/>
      <c r="F55" s="105">
        <v>20</v>
      </c>
      <c r="G55" s="13"/>
      <c r="H55" s="13"/>
      <c r="I55" s="32"/>
      <c r="J55" s="32"/>
      <c r="K55" s="118"/>
      <c r="L55" s="32"/>
      <c r="M55" s="32"/>
      <c r="N55" s="32"/>
      <c r="O55" s="40"/>
      <c r="P55" s="148">
        <f t="shared" si="4"/>
        <v>0</v>
      </c>
      <c r="Q55" s="148">
        <f t="shared" si="5"/>
        <v>0</v>
      </c>
      <c r="R55" s="197"/>
      <c r="S55" s="197"/>
      <c r="T55" s="13"/>
    </row>
    <row r="56" spans="1:20" s="329" customFormat="1" ht="41.25" customHeight="1" x14ac:dyDescent="0.25">
      <c r="A56" s="293"/>
      <c r="B56" s="333" t="s">
        <v>63</v>
      </c>
      <c r="C56" s="314" t="s">
        <v>285</v>
      </c>
      <c r="D56" s="275">
        <v>246</v>
      </c>
      <c r="E56" s="275">
        <v>358</v>
      </c>
      <c r="F56" s="275">
        <v>1562</v>
      </c>
      <c r="G56" s="327">
        <v>1210</v>
      </c>
      <c r="H56" s="323">
        <v>1214.5999999999999</v>
      </c>
      <c r="I56" s="323">
        <v>320.2</v>
      </c>
      <c r="J56" s="320">
        <v>1215</v>
      </c>
      <c r="K56" s="320">
        <f>+G56+H56+I56</f>
        <v>2744.7999999999997</v>
      </c>
      <c r="L56" s="323">
        <f>1214.6</f>
        <v>1214.5999999999999</v>
      </c>
      <c r="M56" s="323">
        <f>1214.6</f>
        <v>1214.5999999999999</v>
      </c>
      <c r="N56" s="323">
        <f>+G56+H56+J56+L56+M56</f>
        <v>6068.7999999999993</v>
      </c>
      <c r="O56" s="311">
        <f t="shared" si="3"/>
        <v>1115.7723577235772</v>
      </c>
      <c r="P56" s="312">
        <f t="shared" si="4"/>
        <v>175.72343149807938</v>
      </c>
      <c r="Q56" s="312">
        <f t="shared" si="5"/>
        <v>388.52752880921895</v>
      </c>
      <c r="R56" s="324" t="s">
        <v>339</v>
      </c>
      <c r="S56" s="324" t="s">
        <v>339</v>
      </c>
      <c r="T56" s="325"/>
    </row>
    <row r="57" spans="1:20" s="10" customFormat="1" ht="41.25" customHeight="1" x14ac:dyDescent="0.25">
      <c r="A57" s="6" t="s">
        <v>85</v>
      </c>
      <c r="B57" s="8" t="s">
        <v>86</v>
      </c>
      <c r="C57" s="30"/>
      <c r="D57" s="34"/>
      <c r="E57" s="8"/>
      <c r="F57" s="98"/>
      <c r="G57" s="8"/>
      <c r="H57" s="8"/>
      <c r="I57" s="47"/>
      <c r="J57" s="47"/>
      <c r="K57" s="191"/>
      <c r="L57" s="32"/>
      <c r="M57" s="32"/>
      <c r="N57" s="32"/>
      <c r="O57" s="40"/>
      <c r="P57" s="148"/>
      <c r="Q57" s="148"/>
      <c r="R57" s="197"/>
      <c r="S57" s="197"/>
      <c r="T57" s="8"/>
    </row>
    <row r="58" spans="1:20" s="2" customFormat="1" ht="41.25" customHeight="1" x14ac:dyDescent="0.25">
      <c r="A58" s="14"/>
      <c r="B58" s="13" t="s">
        <v>87</v>
      </c>
      <c r="C58" s="27" t="s">
        <v>283</v>
      </c>
      <c r="D58" s="28">
        <v>63</v>
      </c>
      <c r="E58" s="28">
        <v>72</v>
      </c>
      <c r="F58" s="105">
        <v>72</v>
      </c>
      <c r="G58" s="13">
        <v>76.7</v>
      </c>
      <c r="H58" s="13">
        <v>78.650000000000006</v>
      </c>
      <c r="I58" s="36">
        <v>81</v>
      </c>
      <c r="J58" s="239">
        <v>81.05</v>
      </c>
      <c r="K58" s="291">
        <f>+J58</f>
        <v>81.05</v>
      </c>
      <c r="L58" s="36">
        <v>81</v>
      </c>
      <c r="M58" s="36">
        <v>81</v>
      </c>
      <c r="N58" s="36">
        <f>+M58</f>
        <v>81</v>
      </c>
      <c r="O58" s="40">
        <f t="shared" si="3"/>
        <v>128.65079365079364</v>
      </c>
      <c r="P58" s="148">
        <f t="shared" si="4"/>
        <v>112.56944444444444</v>
      </c>
      <c r="Q58" s="148">
        <f t="shared" si="5"/>
        <v>112.5</v>
      </c>
      <c r="R58" s="197" t="s">
        <v>339</v>
      </c>
      <c r="S58" s="197" t="s">
        <v>339</v>
      </c>
      <c r="T58" s="13"/>
    </row>
    <row r="59" spans="1:20" s="2" customFormat="1" ht="44.25" customHeight="1" x14ac:dyDescent="0.25">
      <c r="A59" s="6" t="s">
        <v>96</v>
      </c>
      <c r="B59" s="6" t="s">
        <v>89</v>
      </c>
      <c r="C59" s="30"/>
      <c r="D59" s="28"/>
      <c r="E59" s="13"/>
      <c r="F59" s="100"/>
      <c r="G59" s="13"/>
      <c r="H59" s="13"/>
      <c r="I59" s="32"/>
      <c r="J59" s="32"/>
      <c r="K59" s="118"/>
      <c r="L59" s="32"/>
      <c r="M59" s="32"/>
      <c r="N59" s="32"/>
      <c r="O59" s="40"/>
      <c r="P59" s="148"/>
      <c r="Q59" s="148"/>
      <c r="R59" s="197"/>
      <c r="S59" s="197"/>
      <c r="T59" s="13"/>
    </row>
    <row r="60" spans="1:20" s="2" customFormat="1" ht="44.25" customHeight="1" x14ac:dyDescent="0.25">
      <c r="A60" s="6">
        <v>1</v>
      </c>
      <c r="B60" s="42" t="s">
        <v>90</v>
      </c>
      <c r="C60" s="30" t="s">
        <v>287</v>
      </c>
      <c r="D60" s="43">
        <v>14859</v>
      </c>
      <c r="E60" s="34">
        <v>17755</v>
      </c>
      <c r="F60" s="43">
        <v>83284</v>
      </c>
      <c r="G60" s="44">
        <v>16909</v>
      </c>
      <c r="H60" s="44">
        <v>17257</v>
      </c>
      <c r="I60" s="35">
        <v>14905</v>
      </c>
      <c r="J60" s="35">
        <v>17700</v>
      </c>
      <c r="K60" s="43">
        <f>G60+H60+I60</f>
        <v>49071</v>
      </c>
      <c r="L60" s="43">
        <f>18337</f>
        <v>18337</v>
      </c>
      <c r="M60" s="43">
        <f>19015+L60</f>
        <v>37352</v>
      </c>
      <c r="N60" s="43">
        <f>+G60+H60+J60+L60+M60</f>
        <v>107555</v>
      </c>
      <c r="O60" s="43">
        <f t="shared" si="3"/>
        <v>330.24429638602868</v>
      </c>
      <c r="P60" s="147">
        <f t="shared" si="4"/>
        <v>58.920080687767154</v>
      </c>
      <c r="Q60" s="147">
        <f t="shared" si="5"/>
        <v>129.14245233178042</v>
      </c>
      <c r="R60" s="196"/>
      <c r="S60" s="196" t="s">
        <v>339</v>
      </c>
      <c r="T60" s="8"/>
    </row>
    <row r="61" spans="1:20" s="10" customFormat="1" ht="44.25" customHeight="1" x14ac:dyDescent="0.25">
      <c r="A61" s="14"/>
      <c r="B61" s="45" t="s">
        <v>91</v>
      </c>
      <c r="C61" s="29" t="s">
        <v>287</v>
      </c>
      <c r="D61" s="28">
        <v>1953</v>
      </c>
      <c r="E61" s="28">
        <v>1860</v>
      </c>
      <c r="F61" s="105">
        <v>9782</v>
      </c>
      <c r="G61" s="105">
        <v>1593</v>
      </c>
      <c r="H61" s="105">
        <v>1394</v>
      </c>
      <c r="I61" s="105">
        <v>1330</v>
      </c>
      <c r="J61" s="105">
        <v>1380</v>
      </c>
      <c r="K61" s="105">
        <f>G61+H61+I61</f>
        <v>4317</v>
      </c>
      <c r="L61" s="105">
        <f>1330</f>
        <v>1330</v>
      </c>
      <c r="M61" s="105">
        <f>1280</f>
        <v>1280</v>
      </c>
      <c r="N61" s="105">
        <f t="shared" ref="N61:N66" si="9">+G61+H61+J61+L61+M61</f>
        <v>6977</v>
      </c>
      <c r="O61" s="105">
        <f t="shared" si="3"/>
        <v>221.04454685099844</v>
      </c>
      <c r="P61" s="148">
        <f t="shared" si="4"/>
        <v>44.132079329380495</v>
      </c>
      <c r="Q61" s="148">
        <f t="shared" si="5"/>
        <v>71.324882437129432</v>
      </c>
      <c r="R61" s="197"/>
      <c r="S61" s="197"/>
      <c r="T61" s="13"/>
    </row>
    <row r="62" spans="1:20" s="10" customFormat="1" ht="45.75" customHeight="1" x14ac:dyDescent="0.25">
      <c r="A62" s="14"/>
      <c r="B62" s="45" t="s">
        <v>92</v>
      </c>
      <c r="C62" s="29" t="s">
        <v>287</v>
      </c>
      <c r="D62" s="28">
        <v>640</v>
      </c>
      <c r="E62" s="28">
        <v>690</v>
      </c>
      <c r="F62" s="105">
        <v>3508</v>
      </c>
      <c r="G62" s="105">
        <v>729</v>
      </c>
      <c r="H62" s="105">
        <v>631</v>
      </c>
      <c r="I62" s="105">
        <v>550</v>
      </c>
      <c r="J62" s="105">
        <v>620</v>
      </c>
      <c r="K62" s="105">
        <f>G62+H62+I62</f>
        <v>1910</v>
      </c>
      <c r="L62" s="105">
        <f>600</f>
        <v>600</v>
      </c>
      <c r="M62" s="105">
        <f>590</f>
        <v>590</v>
      </c>
      <c r="N62" s="105">
        <f t="shared" si="9"/>
        <v>3170</v>
      </c>
      <c r="O62" s="105">
        <f t="shared" si="3"/>
        <v>298.4375</v>
      </c>
      <c r="P62" s="148">
        <f t="shared" si="4"/>
        <v>54.446978335233752</v>
      </c>
      <c r="Q62" s="148">
        <f t="shared" si="5"/>
        <v>90.364880273660205</v>
      </c>
      <c r="R62" s="197"/>
      <c r="S62" s="197"/>
      <c r="T62" s="13"/>
    </row>
    <row r="63" spans="1:20" s="10" customFormat="1" ht="45.75" customHeight="1" x14ac:dyDescent="0.25">
      <c r="A63" s="14"/>
      <c r="B63" s="45" t="s">
        <v>93</v>
      </c>
      <c r="C63" s="29" t="s">
        <v>287</v>
      </c>
      <c r="D63" s="28">
        <v>12266</v>
      </c>
      <c r="E63" s="28">
        <v>15205</v>
      </c>
      <c r="F63" s="105">
        <v>69994</v>
      </c>
      <c r="G63" s="105">
        <v>14587</v>
      </c>
      <c r="H63" s="105">
        <v>15232</v>
      </c>
      <c r="I63" s="105">
        <v>13025</v>
      </c>
      <c r="J63" s="105">
        <v>15700</v>
      </c>
      <c r="K63" s="105">
        <f>G63+H63+I63</f>
        <v>42844</v>
      </c>
      <c r="L63" s="105">
        <f>16407</f>
        <v>16407</v>
      </c>
      <c r="M63" s="105">
        <f>17145</f>
        <v>17145</v>
      </c>
      <c r="N63" s="105">
        <f t="shared" si="9"/>
        <v>79071</v>
      </c>
      <c r="O63" s="105">
        <f t="shared" si="3"/>
        <v>349.2907223218653</v>
      </c>
      <c r="P63" s="148">
        <f t="shared" si="4"/>
        <v>61.210960939509093</v>
      </c>
      <c r="Q63" s="148">
        <f t="shared" si="5"/>
        <v>112.96825442180757</v>
      </c>
      <c r="R63" s="197"/>
      <c r="S63" s="197" t="s">
        <v>339</v>
      </c>
      <c r="T63" s="13"/>
    </row>
    <row r="64" spans="1:20" s="146" customFormat="1" ht="33" customHeight="1" x14ac:dyDescent="0.25">
      <c r="A64" s="89">
        <v>2</v>
      </c>
      <c r="B64" s="42" t="s">
        <v>348</v>
      </c>
      <c r="C64" s="41" t="s">
        <v>33</v>
      </c>
      <c r="D64" s="43"/>
      <c r="E64" s="107">
        <v>3.3</v>
      </c>
      <c r="F64" s="107">
        <v>3.6</v>
      </c>
      <c r="G64" s="191">
        <v>13.8</v>
      </c>
      <c r="H64" s="191">
        <v>2.1</v>
      </c>
      <c r="I64" s="191"/>
      <c r="J64" s="191">
        <v>2.6</v>
      </c>
      <c r="K64" s="191">
        <v>2.6</v>
      </c>
      <c r="L64" s="191">
        <v>3.6</v>
      </c>
      <c r="M64" s="191">
        <v>3.7</v>
      </c>
      <c r="N64" s="191">
        <f>+M64</f>
        <v>3.7</v>
      </c>
      <c r="O64" s="40"/>
      <c r="P64" s="148">
        <f t="shared" si="4"/>
        <v>72.222222222222214</v>
      </c>
      <c r="Q64" s="148">
        <f t="shared" si="5"/>
        <v>102.77777777777777</v>
      </c>
      <c r="R64" s="199"/>
      <c r="S64" s="199" t="s">
        <v>339</v>
      </c>
      <c r="T64" s="98"/>
    </row>
    <row r="65" spans="1:20" s="146" customFormat="1" ht="37.5" customHeight="1" x14ac:dyDescent="0.25">
      <c r="A65" s="89">
        <v>3</v>
      </c>
      <c r="B65" s="98" t="s">
        <v>94</v>
      </c>
      <c r="C65" s="30" t="s">
        <v>288</v>
      </c>
      <c r="D65" s="43">
        <v>106.35</v>
      </c>
      <c r="E65" s="43">
        <v>117</v>
      </c>
      <c r="F65" s="43">
        <v>582</v>
      </c>
      <c r="G65" s="43">
        <v>106</v>
      </c>
      <c r="H65" s="43">
        <v>107.499</v>
      </c>
      <c r="I65" s="43">
        <v>85</v>
      </c>
      <c r="J65" s="43">
        <v>109</v>
      </c>
      <c r="K65" s="43">
        <f>G65+H65+I65</f>
        <v>298.49900000000002</v>
      </c>
      <c r="L65" s="43">
        <f>116.85</f>
        <v>116.85</v>
      </c>
      <c r="M65" s="43">
        <f>117.19</f>
        <v>117.19</v>
      </c>
      <c r="N65" s="43">
        <f t="shared" si="9"/>
        <v>556.53899999999999</v>
      </c>
      <c r="O65" s="44">
        <f t="shared" si="3"/>
        <v>280.67606958157035</v>
      </c>
      <c r="P65" s="147">
        <f t="shared" si="4"/>
        <v>51.288487972508591</v>
      </c>
      <c r="Q65" s="147">
        <f t="shared" si="5"/>
        <v>95.625257731958754</v>
      </c>
      <c r="R65" s="211"/>
      <c r="S65" s="211"/>
      <c r="T65" s="98"/>
    </row>
    <row r="66" spans="1:20" s="2" customFormat="1" ht="37.5" customHeight="1" x14ac:dyDescent="0.25">
      <c r="A66" s="6">
        <v>4</v>
      </c>
      <c r="B66" s="8" t="s">
        <v>95</v>
      </c>
      <c r="C66" s="30" t="s">
        <v>282</v>
      </c>
      <c r="D66" s="46">
        <v>1.9870000000000001</v>
      </c>
      <c r="E66" s="46">
        <v>2.67</v>
      </c>
      <c r="F66" s="107">
        <v>12.9</v>
      </c>
      <c r="G66" s="47">
        <v>2.2999999999999998</v>
      </c>
      <c r="H66" s="8">
        <v>2.4</v>
      </c>
      <c r="I66" s="47">
        <v>1.3</v>
      </c>
      <c r="J66" s="113">
        <v>2.5099999999999998</v>
      </c>
      <c r="K66" s="331">
        <f>G66+H66+I66</f>
        <v>5.9999999999999991</v>
      </c>
      <c r="L66" s="113">
        <f>2.62</f>
        <v>2.62</v>
      </c>
      <c r="M66" s="113">
        <f>2.67</f>
        <v>2.67</v>
      </c>
      <c r="N66" s="128">
        <f t="shared" si="9"/>
        <v>12.499999999999998</v>
      </c>
      <c r="O66" s="40">
        <f t="shared" si="3"/>
        <v>301.96275792652233</v>
      </c>
      <c r="P66" s="148">
        <f t="shared" si="4"/>
        <v>46.511627906976734</v>
      </c>
      <c r="Q66" s="148">
        <f t="shared" si="5"/>
        <v>96.899224806201531</v>
      </c>
      <c r="R66" s="196"/>
      <c r="S66" s="196"/>
      <c r="T66" s="8"/>
    </row>
    <row r="67" spans="1:20" s="2" customFormat="1" ht="37.5" customHeight="1" x14ac:dyDescent="0.25">
      <c r="A67" s="6" t="s">
        <v>100</v>
      </c>
      <c r="B67" s="6" t="s">
        <v>97</v>
      </c>
      <c r="C67" s="30"/>
      <c r="D67" s="28"/>
      <c r="E67" s="28"/>
      <c r="F67" s="105"/>
      <c r="G67" s="40"/>
      <c r="H67" s="32"/>
      <c r="I67" s="32"/>
      <c r="J67" s="32"/>
      <c r="K67" s="118"/>
      <c r="L67" s="32"/>
      <c r="M67" s="32"/>
      <c r="N67" s="32"/>
      <c r="O67" s="40"/>
      <c r="P67" s="148"/>
      <c r="Q67" s="148"/>
      <c r="R67" s="197"/>
      <c r="S67" s="197"/>
      <c r="T67" s="13"/>
    </row>
    <row r="68" spans="1:20" s="10" customFormat="1" ht="37.5" customHeight="1" x14ac:dyDescent="0.25">
      <c r="A68" s="48" t="s">
        <v>317</v>
      </c>
      <c r="B68" s="13" t="s">
        <v>98</v>
      </c>
      <c r="C68" s="27" t="s">
        <v>283</v>
      </c>
      <c r="D68" s="39">
        <v>119.8</v>
      </c>
      <c r="E68" s="28">
        <v>91.37</v>
      </c>
      <c r="F68" s="105">
        <v>91.37</v>
      </c>
      <c r="G68" s="32">
        <v>118.7</v>
      </c>
      <c r="H68" s="32">
        <v>118.7</v>
      </c>
      <c r="I68" s="32">
        <v>119.2</v>
      </c>
      <c r="J68" s="32">
        <v>119.2</v>
      </c>
      <c r="K68" s="118">
        <f>+J68</f>
        <v>119.2</v>
      </c>
      <c r="L68" s="32">
        <v>119.2</v>
      </c>
      <c r="M68" s="32">
        <v>119.2</v>
      </c>
      <c r="N68" s="239">
        <f>M68</f>
        <v>119.2</v>
      </c>
      <c r="O68" s="40">
        <f t="shared" si="3"/>
        <v>99.499165275459106</v>
      </c>
      <c r="P68" s="148">
        <f t="shared" si="4"/>
        <v>130.45857502462513</v>
      </c>
      <c r="Q68" s="148">
        <f t="shared" si="5"/>
        <v>130.45857502462513</v>
      </c>
      <c r="R68" s="197" t="s">
        <v>339</v>
      </c>
      <c r="S68" s="197" t="s">
        <v>339</v>
      </c>
      <c r="T68" s="13"/>
    </row>
    <row r="69" spans="1:20" s="10" customFormat="1" ht="37.5" customHeight="1" x14ac:dyDescent="0.25">
      <c r="A69" s="14"/>
      <c r="B69" s="13" t="s">
        <v>99</v>
      </c>
      <c r="C69" s="27" t="s">
        <v>285</v>
      </c>
      <c r="D69" s="28">
        <v>484</v>
      </c>
      <c r="E69" s="28">
        <v>411</v>
      </c>
      <c r="F69" s="105">
        <v>2304</v>
      </c>
      <c r="G69" s="105">
        <v>475.4</v>
      </c>
      <c r="H69" s="105">
        <v>484</v>
      </c>
      <c r="I69" s="105">
        <v>255.09</v>
      </c>
      <c r="J69" s="105">
        <v>510.17</v>
      </c>
      <c r="K69" s="105">
        <f>+G69+H69+I69</f>
        <v>1214.49</v>
      </c>
      <c r="L69" s="105">
        <f>510.17</f>
        <v>510.17</v>
      </c>
      <c r="M69" s="105">
        <f>510.17</f>
        <v>510.17</v>
      </c>
      <c r="N69" s="334">
        <f t="shared" ref="N69" si="10">+G69+H69+J69+L69+M69</f>
        <v>2489.91</v>
      </c>
      <c r="O69" s="40">
        <f t="shared" si="3"/>
        <v>250.92768595041323</v>
      </c>
      <c r="P69" s="148">
        <f t="shared" si="4"/>
        <v>52.712239583333336</v>
      </c>
      <c r="Q69" s="148">
        <f t="shared" si="5"/>
        <v>108.06901041666667</v>
      </c>
      <c r="R69" s="197"/>
      <c r="S69" s="197" t="s">
        <v>339</v>
      </c>
      <c r="T69" s="13"/>
    </row>
    <row r="70" spans="1:20" s="2" customFormat="1" ht="37.5" customHeight="1" x14ac:dyDescent="0.25">
      <c r="A70" s="6" t="s">
        <v>110</v>
      </c>
      <c r="B70" s="6" t="s">
        <v>101</v>
      </c>
      <c r="C70" s="27"/>
      <c r="D70" s="28"/>
      <c r="E70" s="13"/>
      <c r="F70" s="100"/>
      <c r="G70" s="40"/>
      <c r="H70" s="13"/>
      <c r="I70" s="32"/>
      <c r="J70" s="32"/>
      <c r="K70" s="118"/>
      <c r="L70" s="119"/>
      <c r="M70" s="32"/>
      <c r="N70" s="32"/>
      <c r="O70" s="40"/>
      <c r="P70" s="148"/>
      <c r="Q70" s="148"/>
      <c r="R70" s="197"/>
      <c r="S70" s="197"/>
      <c r="T70" s="13"/>
    </row>
    <row r="71" spans="1:20" s="2" customFormat="1" ht="37.5" customHeight="1" x14ac:dyDescent="0.25">
      <c r="A71" s="6">
        <v>1</v>
      </c>
      <c r="B71" s="8" t="s">
        <v>102</v>
      </c>
      <c r="C71" s="30" t="s">
        <v>33</v>
      </c>
      <c r="D71" s="127">
        <v>26.9</v>
      </c>
      <c r="E71" s="127">
        <v>28.02</v>
      </c>
      <c r="F71" s="128">
        <v>28</v>
      </c>
      <c r="G71" s="129">
        <v>27.5</v>
      </c>
      <c r="H71" s="130">
        <v>27.8</v>
      </c>
      <c r="I71" s="131">
        <v>27.8</v>
      </c>
      <c r="J71" s="47">
        <v>27.8</v>
      </c>
      <c r="K71" s="191">
        <f>I71</f>
        <v>27.8</v>
      </c>
      <c r="L71" s="47">
        <v>27.9</v>
      </c>
      <c r="M71" s="47">
        <v>28</v>
      </c>
      <c r="N71" s="47">
        <f>M71</f>
        <v>28</v>
      </c>
      <c r="O71" s="44">
        <f t="shared" si="3"/>
        <v>103.34572490706321</v>
      </c>
      <c r="P71" s="147">
        <f t="shared" si="4"/>
        <v>99.285714285714278</v>
      </c>
      <c r="Q71" s="147">
        <f t="shared" si="5"/>
        <v>99.999999999999986</v>
      </c>
      <c r="R71" s="196"/>
      <c r="S71" s="196" t="s">
        <v>339</v>
      </c>
      <c r="T71" s="8"/>
    </row>
    <row r="72" spans="1:20" s="2" customFormat="1" ht="37.5" customHeight="1" x14ac:dyDescent="0.25">
      <c r="A72" s="6">
        <v>2</v>
      </c>
      <c r="B72" s="8" t="s">
        <v>103</v>
      </c>
      <c r="C72" s="30" t="s">
        <v>283</v>
      </c>
      <c r="D72" s="34">
        <f>D73+D77+D80</f>
        <v>2603.71</v>
      </c>
      <c r="E72" s="34">
        <f t="shared" ref="E72:G72" si="11">E73+E77+E80</f>
        <v>2349</v>
      </c>
      <c r="F72" s="34">
        <f t="shared" si="11"/>
        <v>2715.5000000000005</v>
      </c>
      <c r="G72" s="34">
        <f t="shared" si="11"/>
        <v>2664.09</v>
      </c>
      <c r="H72" s="34">
        <f>H73+H77+H80</f>
        <v>2694.42</v>
      </c>
      <c r="I72" s="34">
        <f t="shared" ref="I72" si="12">I73+I77+I80</f>
        <v>2694.42</v>
      </c>
      <c r="J72" s="34">
        <f>J73+J77+J80</f>
        <v>2698.08</v>
      </c>
      <c r="K72" s="43">
        <f>I72</f>
        <v>2694.42</v>
      </c>
      <c r="L72" s="34">
        <f t="shared" ref="L72" si="13">L73+L77+L80</f>
        <v>2703.4700000000003</v>
      </c>
      <c r="M72" s="34">
        <f>M73+M77+M80</f>
        <v>2710.4700000000003</v>
      </c>
      <c r="N72" s="34">
        <f>M72</f>
        <v>2710.4700000000003</v>
      </c>
      <c r="O72" s="44">
        <f t="shared" si="3"/>
        <v>103.48387493230814</v>
      </c>
      <c r="P72" s="147">
        <f t="shared" si="4"/>
        <v>99.223715706131458</v>
      </c>
      <c r="Q72" s="147">
        <f t="shared" si="5"/>
        <v>99.814767077886202</v>
      </c>
      <c r="R72" s="196"/>
      <c r="S72" s="196" t="s">
        <v>339</v>
      </c>
      <c r="T72" s="8"/>
    </row>
    <row r="73" spans="1:20" s="2" customFormat="1" ht="37.5" customHeight="1" x14ac:dyDescent="0.25">
      <c r="A73" s="14" t="s">
        <v>58</v>
      </c>
      <c r="B73" s="13" t="s">
        <v>104</v>
      </c>
      <c r="C73" s="27" t="s">
        <v>283</v>
      </c>
      <c r="D73" s="28">
        <v>2395.13</v>
      </c>
      <c r="E73" s="28">
        <v>2312</v>
      </c>
      <c r="F73" s="105">
        <v>2456.3000000000002</v>
      </c>
      <c r="G73" s="105">
        <v>2441.54</v>
      </c>
      <c r="H73" s="105">
        <v>2446.77</v>
      </c>
      <c r="I73" s="105">
        <v>2446.77</v>
      </c>
      <c r="J73" s="105">
        <v>2448.1999999999998</v>
      </c>
      <c r="K73" s="105">
        <f t="shared" ref="K73:K75" si="14">I73</f>
        <v>2446.77</v>
      </c>
      <c r="L73" s="105">
        <v>2451.8200000000002</v>
      </c>
      <c r="M73" s="105">
        <v>2455.8200000000002</v>
      </c>
      <c r="N73" s="28">
        <f t="shared" ref="N73:N80" si="15">M73</f>
        <v>2455.8200000000002</v>
      </c>
      <c r="O73" s="40">
        <f t="shared" si="3"/>
        <v>102.1560416344833</v>
      </c>
      <c r="P73" s="148">
        <f t="shared" si="4"/>
        <v>99.61201807596791</v>
      </c>
      <c r="Q73" s="148">
        <f t="shared" si="5"/>
        <v>99.98045841306029</v>
      </c>
      <c r="R73" s="197"/>
      <c r="S73" s="197" t="s">
        <v>339</v>
      </c>
      <c r="T73" s="13"/>
    </row>
    <row r="74" spans="1:20" s="2" customFormat="1" ht="37.5" customHeight="1" x14ac:dyDescent="0.25">
      <c r="A74" s="14"/>
      <c r="B74" s="33" t="s">
        <v>105</v>
      </c>
      <c r="C74" s="27" t="s">
        <v>283</v>
      </c>
      <c r="D74" s="28">
        <v>648.97</v>
      </c>
      <c r="E74" s="13"/>
      <c r="F74" s="112">
        <v>702.2</v>
      </c>
      <c r="G74" s="105">
        <v>709.52</v>
      </c>
      <c r="H74" s="105">
        <v>713.81999999999994</v>
      </c>
      <c r="I74" s="105">
        <v>713.81999999999994</v>
      </c>
      <c r="J74" s="105">
        <v>714.1</v>
      </c>
      <c r="K74" s="105">
        <f t="shared" si="14"/>
        <v>713.81999999999994</v>
      </c>
      <c r="L74" s="105">
        <v>715.82</v>
      </c>
      <c r="M74" s="105">
        <v>717.82</v>
      </c>
      <c r="N74" s="28">
        <f t="shared" si="15"/>
        <v>717.82</v>
      </c>
      <c r="O74" s="40">
        <f t="shared" si="3"/>
        <v>109.99275775459573</v>
      </c>
      <c r="P74" s="148">
        <f t="shared" si="4"/>
        <v>101.6547992025064</v>
      </c>
      <c r="Q74" s="148">
        <f t="shared" si="5"/>
        <v>102.22443748219881</v>
      </c>
      <c r="R74" s="197" t="s">
        <v>339</v>
      </c>
      <c r="S74" s="197" t="s">
        <v>339</v>
      </c>
      <c r="T74" s="13"/>
    </row>
    <row r="75" spans="1:20" s="2" customFormat="1" ht="37.5" customHeight="1" x14ac:dyDescent="0.25">
      <c r="A75" s="14"/>
      <c r="B75" s="33" t="s">
        <v>106</v>
      </c>
      <c r="C75" s="27" t="s">
        <v>283</v>
      </c>
      <c r="D75" s="28">
        <v>1746.16</v>
      </c>
      <c r="E75" s="28"/>
      <c r="F75" s="105">
        <v>1754.1</v>
      </c>
      <c r="G75" s="105">
        <v>1732.02</v>
      </c>
      <c r="H75" s="105">
        <v>1732.95</v>
      </c>
      <c r="I75" s="105">
        <v>1732.95</v>
      </c>
      <c r="J75" s="105">
        <v>1734.1</v>
      </c>
      <c r="K75" s="105">
        <f t="shared" si="14"/>
        <v>1732.95</v>
      </c>
      <c r="L75" s="105">
        <v>1736</v>
      </c>
      <c r="M75" s="105">
        <v>1738</v>
      </c>
      <c r="N75" s="28">
        <f t="shared" si="15"/>
        <v>1738</v>
      </c>
      <c r="O75" s="40">
        <f t="shared" si="3"/>
        <v>99.243482842351213</v>
      </c>
      <c r="P75" s="148">
        <f t="shared" si="4"/>
        <v>98.794253463314519</v>
      </c>
      <c r="Q75" s="148">
        <f t="shared" si="5"/>
        <v>99.082150390513647</v>
      </c>
      <c r="R75" s="197"/>
      <c r="S75" s="197"/>
      <c r="T75" s="13"/>
    </row>
    <row r="76" spans="1:20" s="2" customFormat="1" ht="37.5" customHeight="1" x14ac:dyDescent="0.25">
      <c r="A76" s="14"/>
      <c r="B76" s="33" t="s">
        <v>107</v>
      </c>
      <c r="C76" s="27" t="s">
        <v>283</v>
      </c>
      <c r="D76" s="28"/>
      <c r="E76" s="28"/>
      <c r="F76" s="105"/>
      <c r="G76" s="40"/>
      <c r="H76" s="13"/>
      <c r="I76" s="32"/>
      <c r="J76" s="32"/>
      <c r="K76" s="118"/>
      <c r="L76" s="32"/>
      <c r="M76" s="32"/>
      <c r="N76" s="28"/>
      <c r="O76" s="40"/>
      <c r="P76" s="148"/>
      <c r="Q76" s="148"/>
      <c r="R76" s="197"/>
      <c r="S76" s="197"/>
      <c r="T76" s="13"/>
    </row>
    <row r="77" spans="1:20" s="2" customFormat="1" ht="37.5" customHeight="1" x14ac:dyDescent="0.25">
      <c r="A77" s="14" t="s">
        <v>16</v>
      </c>
      <c r="B77" s="13" t="s">
        <v>108</v>
      </c>
      <c r="C77" s="27" t="s">
        <v>283</v>
      </c>
      <c r="D77" s="28">
        <f>D78+D79</f>
        <v>170.94</v>
      </c>
      <c r="E77" s="28">
        <f t="shared" ref="E77:F77" si="16">E78+E79</f>
        <v>0</v>
      </c>
      <c r="F77" s="28">
        <f t="shared" si="16"/>
        <v>210.57</v>
      </c>
      <c r="G77" s="28">
        <f>G78+G79</f>
        <v>183.15</v>
      </c>
      <c r="H77" s="28">
        <f>H78+H79</f>
        <v>199.02</v>
      </c>
      <c r="I77" s="28">
        <f t="shared" ref="I77:M77" si="17">I78+I79</f>
        <v>199.02</v>
      </c>
      <c r="J77" s="28">
        <f t="shared" si="17"/>
        <v>201.25</v>
      </c>
      <c r="K77" s="28">
        <f>I77</f>
        <v>199.02</v>
      </c>
      <c r="L77" s="28">
        <f t="shared" si="17"/>
        <v>203.01999999999998</v>
      </c>
      <c r="M77" s="28">
        <f t="shared" si="17"/>
        <v>206.01999999999998</v>
      </c>
      <c r="N77" s="28">
        <f t="shared" si="15"/>
        <v>206.01999999999998</v>
      </c>
      <c r="O77" s="28">
        <f t="shared" ref="O77:O83" si="18">K77/D77%</f>
        <v>116.42681642681643</v>
      </c>
      <c r="P77" s="148">
        <f t="shared" ref="P77:P83" si="19">K77/F77%</f>
        <v>94.514888160706647</v>
      </c>
      <c r="Q77" s="148">
        <f t="shared" ref="Q77:Q83" si="20">N77/F77%</f>
        <v>97.839198366338977</v>
      </c>
      <c r="R77" s="197"/>
      <c r="S77" s="197"/>
      <c r="T77" s="13"/>
    </row>
    <row r="78" spans="1:20" s="146" customFormat="1" ht="37.5" customHeight="1" x14ac:dyDescent="0.25">
      <c r="A78" s="22"/>
      <c r="B78" s="210" t="s">
        <v>105</v>
      </c>
      <c r="C78" s="27" t="s">
        <v>283</v>
      </c>
      <c r="D78" s="105">
        <v>57.239999999999981</v>
      </c>
      <c r="E78" s="100"/>
      <c r="F78" s="100">
        <v>87.47</v>
      </c>
      <c r="G78" s="28">
        <v>74.960000000000008</v>
      </c>
      <c r="H78" s="28">
        <v>75.950000000000017</v>
      </c>
      <c r="I78" s="28">
        <v>75.950000000000017</v>
      </c>
      <c r="J78" s="28">
        <v>76.949999999999989</v>
      </c>
      <c r="K78" s="28">
        <f t="shared" ref="K78:K83" si="21">I78</f>
        <v>75.950000000000017</v>
      </c>
      <c r="L78" s="28">
        <v>78.949999999999989</v>
      </c>
      <c r="M78" s="28">
        <v>78.949999999999989</v>
      </c>
      <c r="N78" s="28">
        <f t="shared" si="15"/>
        <v>78.949999999999989</v>
      </c>
      <c r="O78" s="28">
        <f t="shared" si="18"/>
        <v>132.68693221523418</v>
      </c>
      <c r="P78" s="148">
        <f t="shared" si="19"/>
        <v>86.829770206928103</v>
      </c>
      <c r="Q78" s="148">
        <f t="shared" si="20"/>
        <v>90.259517548873887</v>
      </c>
      <c r="R78" s="199"/>
      <c r="S78" s="199"/>
      <c r="T78" s="100"/>
    </row>
    <row r="79" spans="1:20" s="10" customFormat="1" ht="44.25" customHeight="1" x14ac:dyDescent="0.25">
      <c r="A79" s="14"/>
      <c r="B79" s="33" t="s">
        <v>106</v>
      </c>
      <c r="C79" s="27" t="s">
        <v>283</v>
      </c>
      <c r="D79" s="28">
        <v>113.7</v>
      </c>
      <c r="E79" s="28"/>
      <c r="F79" s="105">
        <v>123.1</v>
      </c>
      <c r="G79" s="28">
        <v>108.19</v>
      </c>
      <c r="H79" s="28">
        <v>123.07</v>
      </c>
      <c r="I79" s="28">
        <v>123.07</v>
      </c>
      <c r="J79" s="28">
        <v>124.3</v>
      </c>
      <c r="K79" s="28">
        <f t="shared" si="21"/>
        <v>123.07</v>
      </c>
      <c r="L79" s="28">
        <v>124.07</v>
      </c>
      <c r="M79" s="28">
        <v>127.07</v>
      </c>
      <c r="N79" s="28">
        <f t="shared" si="15"/>
        <v>127.07</v>
      </c>
      <c r="O79" s="28">
        <f t="shared" si="18"/>
        <v>108.24098504837291</v>
      </c>
      <c r="P79" s="148">
        <f t="shared" si="19"/>
        <v>99.975629569455734</v>
      </c>
      <c r="Q79" s="148">
        <f t="shared" si="20"/>
        <v>103.22502030869212</v>
      </c>
      <c r="R79" s="197" t="s">
        <v>339</v>
      </c>
      <c r="S79" s="197" t="s">
        <v>339</v>
      </c>
      <c r="T79" s="13"/>
    </row>
    <row r="80" spans="1:20" s="10" customFormat="1" ht="44.25" customHeight="1" x14ac:dyDescent="0.25">
      <c r="A80" s="14" t="s">
        <v>68</v>
      </c>
      <c r="B80" s="13" t="s">
        <v>109</v>
      </c>
      <c r="C80" s="29" t="s">
        <v>283</v>
      </c>
      <c r="D80" s="28">
        <v>37.64</v>
      </c>
      <c r="E80" s="28">
        <v>37</v>
      </c>
      <c r="F80" s="105">
        <v>48.63</v>
      </c>
      <c r="G80" s="28">
        <v>39.4</v>
      </c>
      <c r="H80" s="28">
        <v>48.63</v>
      </c>
      <c r="I80" s="28">
        <v>48.63</v>
      </c>
      <c r="J80" s="28">
        <v>48.63</v>
      </c>
      <c r="K80" s="28">
        <f t="shared" si="21"/>
        <v>48.63</v>
      </c>
      <c r="L80" s="28">
        <v>48.63</v>
      </c>
      <c r="M80" s="28">
        <v>48.63</v>
      </c>
      <c r="N80" s="28">
        <f t="shared" si="15"/>
        <v>48.63</v>
      </c>
      <c r="O80" s="28">
        <f t="shared" si="18"/>
        <v>129.19766206163655</v>
      </c>
      <c r="P80" s="148">
        <f t="shared" si="19"/>
        <v>100</v>
      </c>
      <c r="Q80" s="148">
        <f t="shared" si="20"/>
        <v>100</v>
      </c>
      <c r="R80" s="197" t="s">
        <v>339</v>
      </c>
      <c r="S80" s="197" t="s">
        <v>339</v>
      </c>
      <c r="T80" s="13"/>
    </row>
    <row r="81" spans="1:20" ht="39" customHeight="1" x14ac:dyDescent="0.3">
      <c r="A81" s="6" t="s">
        <v>110</v>
      </c>
      <c r="B81" s="6" t="s">
        <v>111</v>
      </c>
      <c r="C81" s="27"/>
      <c r="D81" s="28"/>
      <c r="E81" s="13"/>
      <c r="F81" s="100"/>
      <c r="G81" s="40"/>
      <c r="H81" s="13"/>
      <c r="I81" s="32"/>
      <c r="J81" s="32"/>
      <c r="K81" s="125">
        <f t="shared" si="21"/>
        <v>0</v>
      </c>
      <c r="L81" s="32"/>
      <c r="M81" s="32"/>
      <c r="N81" s="32"/>
      <c r="O81" s="40"/>
      <c r="P81" s="148"/>
      <c r="Q81" s="148"/>
      <c r="R81" s="197"/>
      <c r="S81" s="197"/>
      <c r="T81" s="13"/>
    </row>
    <row r="82" spans="1:20" ht="39" customHeight="1" x14ac:dyDescent="0.3">
      <c r="A82" s="6">
        <v>1</v>
      </c>
      <c r="B82" s="8" t="s">
        <v>112</v>
      </c>
      <c r="C82" s="30" t="s">
        <v>289</v>
      </c>
      <c r="D82" s="34">
        <v>15</v>
      </c>
      <c r="E82" s="34">
        <v>19</v>
      </c>
      <c r="F82" s="43">
        <v>19</v>
      </c>
      <c r="G82" s="44">
        <v>19</v>
      </c>
      <c r="H82" s="8">
        <v>10.5</v>
      </c>
      <c r="I82" s="35">
        <v>15</v>
      </c>
      <c r="J82" s="47">
        <v>17.5</v>
      </c>
      <c r="K82" s="125">
        <f t="shared" si="21"/>
        <v>15</v>
      </c>
      <c r="L82" s="35">
        <v>19</v>
      </c>
      <c r="M82" s="35">
        <v>19</v>
      </c>
      <c r="N82" s="35">
        <f>M82</f>
        <v>19</v>
      </c>
      <c r="O82" s="44">
        <f t="shared" si="18"/>
        <v>100</v>
      </c>
      <c r="P82" s="147">
        <f t="shared" si="19"/>
        <v>78.94736842105263</v>
      </c>
      <c r="Q82" s="147">
        <f t="shared" si="20"/>
        <v>100</v>
      </c>
      <c r="R82" s="196"/>
      <c r="S82" s="196" t="s">
        <v>339</v>
      </c>
      <c r="T82" s="8"/>
    </row>
    <row r="83" spans="1:20" ht="39" customHeight="1" x14ac:dyDescent="0.3">
      <c r="A83" s="6">
        <v>2</v>
      </c>
      <c r="B83" s="8" t="s">
        <v>113</v>
      </c>
      <c r="C83" s="30" t="s">
        <v>290</v>
      </c>
      <c r="D83" s="34">
        <v>1</v>
      </c>
      <c r="E83" s="34">
        <v>2</v>
      </c>
      <c r="F83" s="43">
        <v>2</v>
      </c>
      <c r="G83" s="44">
        <v>1</v>
      </c>
      <c r="H83" s="8">
        <v>1</v>
      </c>
      <c r="I83" s="35">
        <v>1</v>
      </c>
      <c r="J83" s="35">
        <v>1</v>
      </c>
      <c r="K83" s="125">
        <f t="shared" si="21"/>
        <v>1</v>
      </c>
      <c r="L83" s="35">
        <v>2</v>
      </c>
      <c r="M83" s="35">
        <v>2</v>
      </c>
      <c r="N83" s="35">
        <f>M83</f>
        <v>2</v>
      </c>
      <c r="O83" s="44">
        <f t="shared" si="18"/>
        <v>100</v>
      </c>
      <c r="P83" s="147">
        <f t="shared" si="19"/>
        <v>50</v>
      </c>
      <c r="Q83" s="147">
        <f t="shared" si="20"/>
        <v>100</v>
      </c>
      <c r="R83" s="196"/>
      <c r="S83" s="196" t="s">
        <v>339</v>
      </c>
      <c r="T83" s="8"/>
    </row>
  </sheetData>
  <mergeCells count="19">
    <mergeCell ref="R5:S5"/>
    <mergeCell ref="A3:T3"/>
    <mergeCell ref="A2:T2"/>
    <mergeCell ref="Q1:T1"/>
    <mergeCell ref="M5:M6"/>
    <mergeCell ref="O5:Q5"/>
    <mergeCell ref="T5:T6"/>
    <mergeCell ref="A5:A6"/>
    <mergeCell ref="B5:B6"/>
    <mergeCell ref="C5:C6"/>
    <mergeCell ref="D5:D6"/>
    <mergeCell ref="E5:E6"/>
    <mergeCell ref="G5:G6"/>
    <mergeCell ref="H5:H6"/>
    <mergeCell ref="I5:J5"/>
    <mergeCell ref="L5:L6"/>
    <mergeCell ref="F5:F6"/>
    <mergeCell ref="N5:N6"/>
    <mergeCell ref="K5:K6"/>
  </mergeCells>
  <pageMargins left="0.45" right="0.45" top="0.5" bottom="0.5" header="0.3" footer="0.3"/>
  <pageSetup paperSize="9" scale="4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20"/>
  <sheetViews>
    <sheetView topLeftCell="A4" zoomScale="85" zoomScaleNormal="85" workbookViewId="0">
      <selection activeCell="R4" sqref="R1:S1048576"/>
    </sheetView>
  </sheetViews>
  <sheetFormatPr defaultColWidth="9.140625" defaultRowHeight="18.75" x14ac:dyDescent="0.3"/>
  <cols>
    <col min="1" max="1" width="6.42578125" style="23" customWidth="1"/>
    <col min="2" max="2" width="48.7109375" style="1" customWidth="1"/>
    <col min="3" max="3" width="12.7109375" style="1" customWidth="1"/>
    <col min="4" max="4" width="14.28515625" style="1" customWidth="1"/>
    <col min="5" max="5" width="14.28515625" style="1" hidden="1" customWidth="1"/>
    <col min="6" max="14" width="14.28515625" style="1" customWidth="1"/>
    <col min="15" max="16" width="13.28515625" style="1" customWidth="1"/>
    <col min="17" max="17" width="14.140625" style="1" customWidth="1"/>
    <col min="18" max="19" width="13.140625" style="1" hidden="1" customWidth="1"/>
    <col min="20" max="20" width="12" style="1" bestFit="1" customWidth="1"/>
    <col min="21" max="16384" width="9.140625" style="1"/>
  </cols>
  <sheetData>
    <row r="1" spans="1:20" x14ac:dyDescent="0.3">
      <c r="I1" s="25"/>
      <c r="J1" s="25"/>
      <c r="K1" s="25"/>
      <c r="P1" s="25"/>
      <c r="T1" s="151" t="s">
        <v>114</v>
      </c>
    </row>
    <row r="2" spans="1:20" ht="30" customHeight="1" x14ac:dyDescent="0.3">
      <c r="A2" s="394" t="s">
        <v>332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</row>
    <row r="3" spans="1:20" ht="22.5" customHeight="1" x14ac:dyDescent="0.3">
      <c r="A3" s="393" t="str">
        <f>'1. CTCY'!A3:T3</f>
        <v>(Kèm theo báo cáo số:                 /BC-UBND ngày               tháng              năm 2023 của UBND thành phố Lai Châu)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</row>
    <row r="5" spans="1:20" ht="50.25" customHeight="1" x14ac:dyDescent="0.3">
      <c r="A5" s="377" t="s">
        <v>313</v>
      </c>
      <c r="B5" s="377" t="s">
        <v>312</v>
      </c>
      <c r="C5" s="377" t="s">
        <v>311</v>
      </c>
      <c r="D5" s="377" t="s">
        <v>315</v>
      </c>
      <c r="E5" s="377" t="s">
        <v>321</v>
      </c>
      <c r="F5" s="377" t="s">
        <v>320</v>
      </c>
      <c r="G5" s="377" t="s">
        <v>310</v>
      </c>
      <c r="H5" s="377" t="s">
        <v>309</v>
      </c>
      <c r="I5" s="395" t="s">
        <v>343</v>
      </c>
      <c r="J5" s="395"/>
      <c r="K5" s="377" t="s">
        <v>356</v>
      </c>
      <c r="L5" s="377" t="s">
        <v>352</v>
      </c>
      <c r="M5" s="377" t="s">
        <v>353</v>
      </c>
      <c r="N5" s="377" t="s">
        <v>349</v>
      </c>
      <c r="O5" s="388" t="s">
        <v>308</v>
      </c>
      <c r="P5" s="389"/>
      <c r="Q5" s="390"/>
      <c r="R5" s="392" t="s">
        <v>336</v>
      </c>
      <c r="S5" s="392"/>
      <c r="T5" s="377" t="s">
        <v>314</v>
      </c>
    </row>
    <row r="6" spans="1:20" ht="176.25" customHeight="1" x14ac:dyDescent="0.3">
      <c r="A6" s="378"/>
      <c r="B6" s="378"/>
      <c r="C6" s="378"/>
      <c r="D6" s="378"/>
      <c r="E6" s="378"/>
      <c r="F6" s="378"/>
      <c r="G6" s="378"/>
      <c r="H6" s="378"/>
      <c r="I6" s="149" t="s">
        <v>341</v>
      </c>
      <c r="J6" s="149" t="s">
        <v>345</v>
      </c>
      <c r="K6" s="378"/>
      <c r="L6" s="378"/>
      <c r="M6" s="378"/>
      <c r="N6" s="378"/>
      <c r="O6" s="260" t="s">
        <v>354</v>
      </c>
      <c r="P6" s="260" t="s">
        <v>357</v>
      </c>
      <c r="Q6" s="260" t="s">
        <v>358</v>
      </c>
      <c r="R6" s="135" t="s">
        <v>337</v>
      </c>
      <c r="S6" s="135" t="s">
        <v>338</v>
      </c>
      <c r="T6" s="378"/>
    </row>
    <row r="7" spans="1:20" x14ac:dyDescent="0.3">
      <c r="A7" s="94">
        <v>1</v>
      </c>
      <c r="B7" s="94">
        <v>2</v>
      </c>
      <c r="C7" s="94">
        <v>3</v>
      </c>
      <c r="D7" s="94">
        <v>4</v>
      </c>
      <c r="E7" s="94"/>
      <c r="F7" s="94">
        <v>5</v>
      </c>
      <c r="G7" s="94">
        <v>6</v>
      </c>
      <c r="H7" s="94">
        <v>7</v>
      </c>
      <c r="I7" s="9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145" t="s">
        <v>359</v>
      </c>
      <c r="P7" s="145" t="s">
        <v>360</v>
      </c>
      <c r="Q7" s="145" t="s">
        <v>355</v>
      </c>
      <c r="R7" s="4">
        <v>17</v>
      </c>
      <c r="S7" s="94">
        <v>18</v>
      </c>
      <c r="T7" s="94">
        <v>19</v>
      </c>
    </row>
    <row r="8" spans="1:20" s="2" customFormat="1" ht="41.25" customHeight="1" x14ac:dyDescent="0.25">
      <c r="A8" s="6">
        <v>1</v>
      </c>
      <c r="B8" s="6" t="s">
        <v>364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s="274" customFormat="1" ht="45.75" customHeight="1" x14ac:dyDescent="0.25">
      <c r="A9" s="268"/>
      <c r="B9" s="269" t="s">
        <v>115</v>
      </c>
      <c r="C9" s="270" t="s">
        <v>291</v>
      </c>
      <c r="D9" s="271">
        <v>9260</v>
      </c>
      <c r="E9" s="271">
        <v>11400</v>
      </c>
      <c r="F9" s="271">
        <v>54325</v>
      </c>
      <c r="G9" s="271">
        <v>8290</v>
      </c>
      <c r="H9" s="271">
        <v>7562</v>
      </c>
      <c r="I9" s="271">
        <v>4884.75</v>
      </c>
      <c r="J9" s="271">
        <v>7337</v>
      </c>
      <c r="K9" s="271">
        <f t="shared" ref="K9:K15" si="0">+G9+H9+I9</f>
        <v>20736.75</v>
      </c>
      <c r="L9" s="271">
        <f>6500</f>
        <v>6500</v>
      </c>
      <c r="M9" s="271">
        <f>9325</f>
        <v>9325</v>
      </c>
      <c r="N9" s="271">
        <f t="shared" ref="N9:N15" si="1">+G9+H9+J9+L9+M9</f>
        <v>39014</v>
      </c>
      <c r="O9" s="271">
        <f>K9/D9%</f>
        <v>223.93898488120951</v>
      </c>
      <c r="P9" s="271">
        <f>K9/F9%</f>
        <v>38.17165209387943</v>
      </c>
      <c r="Q9" s="271">
        <f>N9/F9%</f>
        <v>71.815922687528769</v>
      </c>
      <c r="R9" s="272"/>
      <c r="S9" s="272"/>
      <c r="T9" s="273"/>
    </row>
    <row r="10" spans="1:20" s="274" customFormat="1" ht="45.75" customHeight="1" x14ac:dyDescent="0.25">
      <c r="A10" s="268"/>
      <c r="B10" s="269" t="s">
        <v>116</v>
      </c>
      <c r="C10" s="270" t="s">
        <v>361</v>
      </c>
      <c r="D10" s="271">
        <v>24</v>
      </c>
      <c r="E10" s="271">
        <v>36</v>
      </c>
      <c r="F10" s="271">
        <v>164</v>
      </c>
      <c r="G10" s="271">
        <v>32</v>
      </c>
      <c r="H10" s="271">
        <v>50</v>
      </c>
      <c r="I10" s="271">
        <v>29.71</v>
      </c>
      <c r="J10" s="271">
        <v>47</v>
      </c>
      <c r="K10" s="271">
        <f t="shared" si="0"/>
        <v>111.71000000000001</v>
      </c>
      <c r="L10" s="271">
        <f>45</f>
        <v>45</v>
      </c>
      <c r="M10" s="271">
        <f>75</f>
        <v>75</v>
      </c>
      <c r="N10" s="271">
        <f t="shared" si="1"/>
        <v>249</v>
      </c>
      <c r="O10" s="271">
        <f t="shared" ref="O10:O20" si="2">K10/D10%</f>
        <v>465.45833333333337</v>
      </c>
      <c r="P10" s="271">
        <f t="shared" ref="P10:P20" si="3">K10/F10%</f>
        <v>68.115853658536594</v>
      </c>
      <c r="Q10" s="271">
        <f t="shared" ref="Q10:Q20" si="4">N10/F10%</f>
        <v>151.82926829268294</v>
      </c>
      <c r="R10" s="272"/>
      <c r="S10" s="272" t="s">
        <v>339</v>
      </c>
      <c r="T10" s="273"/>
    </row>
    <row r="11" spans="1:20" s="274" customFormat="1" ht="45.75" customHeight="1" x14ac:dyDescent="0.25">
      <c r="A11" s="268"/>
      <c r="B11" s="269" t="s">
        <v>117</v>
      </c>
      <c r="C11" s="270" t="s">
        <v>285</v>
      </c>
      <c r="D11" s="271">
        <v>2769</v>
      </c>
      <c r="E11" s="271">
        <v>2871</v>
      </c>
      <c r="F11" s="275">
        <v>14297</v>
      </c>
      <c r="G11" s="271">
        <v>2821</v>
      </c>
      <c r="H11" s="271">
        <v>3006</v>
      </c>
      <c r="I11" s="271">
        <v>1350.7</v>
      </c>
      <c r="J11" s="271">
        <v>3009</v>
      </c>
      <c r="K11" s="271">
        <f t="shared" si="0"/>
        <v>7177.7</v>
      </c>
      <c r="L11" s="271">
        <f>3010</f>
        <v>3010</v>
      </c>
      <c r="M11" s="271">
        <f>3020</f>
        <v>3020</v>
      </c>
      <c r="N11" s="271">
        <f t="shared" si="1"/>
        <v>14866</v>
      </c>
      <c r="O11" s="271">
        <f t="shared" si="2"/>
        <v>259.21632358252077</v>
      </c>
      <c r="P11" s="271">
        <f t="shared" si="3"/>
        <v>50.204238651465339</v>
      </c>
      <c r="Q11" s="271">
        <f t="shared" si="4"/>
        <v>103.97985591382808</v>
      </c>
      <c r="R11" s="272"/>
      <c r="S11" s="272" t="s">
        <v>339</v>
      </c>
      <c r="T11" s="273"/>
    </row>
    <row r="12" spans="1:20" s="274" customFormat="1" ht="45.75" customHeight="1" x14ac:dyDescent="0.25">
      <c r="A12" s="268"/>
      <c r="B12" s="269" t="s">
        <v>118</v>
      </c>
      <c r="C12" s="270" t="s">
        <v>285</v>
      </c>
      <c r="D12" s="271">
        <v>13000</v>
      </c>
      <c r="E12" s="271">
        <v>13200</v>
      </c>
      <c r="F12" s="275">
        <v>65800</v>
      </c>
      <c r="G12" s="271">
        <v>8500</v>
      </c>
      <c r="H12" s="271">
        <v>5000</v>
      </c>
      <c r="I12" s="271">
        <v>2450</v>
      </c>
      <c r="J12" s="271">
        <v>5300</v>
      </c>
      <c r="K12" s="271">
        <f t="shared" si="0"/>
        <v>15950</v>
      </c>
      <c r="L12" s="271">
        <f>5500</f>
        <v>5500</v>
      </c>
      <c r="M12" s="271">
        <f>5600</f>
        <v>5600</v>
      </c>
      <c r="N12" s="271">
        <f t="shared" si="1"/>
        <v>29900</v>
      </c>
      <c r="O12" s="271">
        <f t="shared" si="2"/>
        <v>122.69230769230769</v>
      </c>
      <c r="P12" s="271">
        <f t="shared" si="3"/>
        <v>24.240121580547111</v>
      </c>
      <c r="Q12" s="271">
        <f t="shared" si="4"/>
        <v>45.440729483282674</v>
      </c>
      <c r="R12" s="272"/>
      <c r="S12" s="272"/>
      <c r="T12" s="273"/>
    </row>
    <row r="13" spans="1:20" s="2" customFormat="1" ht="45.75" customHeight="1" x14ac:dyDescent="0.25">
      <c r="A13" s="268"/>
      <c r="B13" s="269" t="s">
        <v>119</v>
      </c>
      <c r="C13" s="270" t="s">
        <v>324</v>
      </c>
      <c r="D13" s="271">
        <v>4420</v>
      </c>
      <c r="E13" s="271">
        <v>414</v>
      </c>
      <c r="F13" s="275">
        <v>1884</v>
      </c>
      <c r="G13" s="271">
        <v>348</v>
      </c>
      <c r="H13" s="271">
        <v>362</v>
      </c>
      <c r="I13" s="271">
        <v>287.5</v>
      </c>
      <c r="J13" s="271">
        <v>367</v>
      </c>
      <c r="K13" s="271">
        <f t="shared" si="0"/>
        <v>997.5</v>
      </c>
      <c r="L13" s="271">
        <f>375</f>
        <v>375</v>
      </c>
      <c r="M13" s="271">
        <f>385</f>
        <v>385</v>
      </c>
      <c r="N13" s="271">
        <f t="shared" si="1"/>
        <v>1837</v>
      </c>
      <c r="O13" s="271">
        <f t="shared" si="2"/>
        <v>22.567873303167421</v>
      </c>
      <c r="P13" s="271">
        <f t="shared" si="3"/>
        <v>52.945859872611464</v>
      </c>
      <c r="Q13" s="271">
        <f t="shared" si="4"/>
        <v>97.505307855626327</v>
      </c>
      <c r="R13" s="272"/>
      <c r="S13" s="272"/>
      <c r="T13" s="273"/>
    </row>
    <row r="14" spans="1:20" ht="45.75" customHeight="1" x14ac:dyDescent="0.3">
      <c r="A14" s="276"/>
      <c r="B14" s="269" t="s">
        <v>120</v>
      </c>
      <c r="C14" s="270" t="s">
        <v>361</v>
      </c>
      <c r="D14" s="271">
        <v>334</v>
      </c>
      <c r="E14" s="271">
        <v>4900</v>
      </c>
      <c r="F14" s="275">
        <v>23638</v>
      </c>
      <c r="G14" s="271">
        <v>4807</v>
      </c>
      <c r="H14" s="271">
        <v>2949</v>
      </c>
      <c r="I14" s="271">
        <v>322</v>
      </c>
      <c r="J14" s="271">
        <v>2974</v>
      </c>
      <c r="K14" s="271">
        <f t="shared" si="0"/>
        <v>8078</v>
      </c>
      <c r="L14" s="271">
        <f>3000</f>
        <v>3000</v>
      </c>
      <c r="M14" s="271">
        <f>3025</f>
        <v>3025</v>
      </c>
      <c r="N14" s="271">
        <f t="shared" si="1"/>
        <v>16755</v>
      </c>
      <c r="O14" s="271">
        <f t="shared" si="2"/>
        <v>2418.5628742514973</v>
      </c>
      <c r="P14" s="271">
        <f t="shared" si="3"/>
        <v>34.173787968525254</v>
      </c>
      <c r="Q14" s="271">
        <f t="shared" si="4"/>
        <v>70.881631271681186</v>
      </c>
      <c r="R14" s="272"/>
      <c r="S14" s="272"/>
      <c r="T14" s="277"/>
    </row>
    <row r="15" spans="1:20" s="2" customFormat="1" ht="45.75" customHeight="1" x14ac:dyDescent="0.25">
      <c r="A15" s="268"/>
      <c r="B15" s="269" t="s">
        <v>121</v>
      </c>
      <c r="C15" s="270" t="s">
        <v>362</v>
      </c>
      <c r="D15" s="271">
        <v>60000</v>
      </c>
      <c r="E15" s="271">
        <v>64934</v>
      </c>
      <c r="F15" s="271">
        <v>318303</v>
      </c>
      <c r="G15" s="271">
        <v>56250</v>
      </c>
      <c r="H15" s="271">
        <v>60500</v>
      </c>
      <c r="I15" s="271">
        <v>29325</v>
      </c>
      <c r="J15" s="271">
        <v>62100</v>
      </c>
      <c r="K15" s="271">
        <f t="shared" si="0"/>
        <v>146075</v>
      </c>
      <c r="L15" s="271">
        <f>62200</f>
        <v>62200</v>
      </c>
      <c r="M15" s="271">
        <f>63000</f>
        <v>63000</v>
      </c>
      <c r="N15" s="271">
        <f t="shared" si="1"/>
        <v>304050</v>
      </c>
      <c r="O15" s="271">
        <f t="shared" si="2"/>
        <v>243.45833333333334</v>
      </c>
      <c r="P15" s="271">
        <f t="shared" si="3"/>
        <v>45.891807491603906</v>
      </c>
      <c r="Q15" s="271">
        <f t="shared" si="4"/>
        <v>95.522191119782093</v>
      </c>
      <c r="R15" s="272"/>
      <c r="S15" s="272"/>
      <c r="T15" s="273"/>
    </row>
    <row r="16" spans="1:20" s="2" customFormat="1" ht="39" customHeight="1" x14ac:dyDescent="0.25">
      <c r="A16" s="6">
        <v>2</v>
      </c>
      <c r="B16" s="6" t="s">
        <v>365</v>
      </c>
      <c r="C16" s="49"/>
      <c r="D16" s="13"/>
      <c r="E16" s="28"/>
      <c r="F16" s="28"/>
      <c r="G16" s="40"/>
      <c r="H16" s="40"/>
      <c r="I16" s="32"/>
      <c r="J16" s="40"/>
      <c r="K16" s="40"/>
      <c r="L16" s="40"/>
      <c r="M16" s="40"/>
      <c r="N16" s="40"/>
      <c r="O16" s="271"/>
      <c r="P16" s="271"/>
      <c r="Q16" s="271"/>
      <c r="R16" s="82"/>
      <c r="S16" s="82"/>
      <c r="T16" s="13"/>
    </row>
    <row r="17" spans="1:20" s="2" customFormat="1" ht="59.25" customHeight="1" x14ac:dyDescent="0.25">
      <c r="A17" s="14"/>
      <c r="B17" s="50" t="s">
        <v>122</v>
      </c>
      <c r="C17" s="51" t="s">
        <v>33</v>
      </c>
      <c r="D17" s="28">
        <v>100</v>
      </c>
      <c r="E17" s="28">
        <v>100</v>
      </c>
      <c r="F17" s="28">
        <v>100</v>
      </c>
      <c r="G17" s="28">
        <v>100</v>
      </c>
      <c r="H17" s="28">
        <v>100</v>
      </c>
      <c r="I17" s="28">
        <v>100</v>
      </c>
      <c r="J17" s="28">
        <v>100</v>
      </c>
      <c r="K17" s="28">
        <v>100</v>
      </c>
      <c r="L17" s="28">
        <v>100</v>
      </c>
      <c r="M17" s="28">
        <v>100</v>
      </c>
      <c r="N17" s="28">
        <f>M17</f>
        <v>100</v>
      </c>
      <c r="O17" s="28">
        <f t="shared" si="2"/>
        <v>100</v>
      </c>
      <c r="P17" s="28">
        <f t="shared" si="3"/>
        <v>100</v>
      </c>
      <c r="Q17" s="28">
        <f t="shared" si="4"/>
        <v>100</v>
      </c>
      <c r="R17" s="195" t="s">
        <v>339</v>
      </c>
      <c r="S17" s="195" t="s">
        <v>339</v>
      </c>
      <c r="T17" s="13"/>
    </row>
    <row r="18" spans="1:20" s="2" customFormat="1" ht="45.75" customHeight="1" x14ac:dyDescent="0.25">
      <c r="A18" s="14"/>
      <c r="B18" s="13" t="s">
        <v>123</v>
      </c>
      <c r="C18" s="51" t="s">
        <v>33</v>
      </c>
      <c r="D18" s="28">
        <v>100</v>
      </c>
      <c r="E18" s="28">
        <v>100</v>
      </c>
      <c r="F18" s="28">
        <v>100</v>
      </c>
      <c r="G18" s="28">
        <v>100</v>
      </c>
      <c r="H18" s="28">
        <v>100</v>
      </c>
      <c r="I18" s="28">
        <v>100</v>
      </c>
      <c r="J18" s="28">
        <v>100</v>
      </c>
      <c r="K18" s="28">
        <v>100</v>
      </c>
      <c r="L18" s="28">
        <v>100</v>
      </c>
      <c r="M18" s="28">
        <v>100</v>
      </c>
      <c r="N18" s="28">
        <f t="shared" ref="N18:N20" si="5">M18</f>
        <v>100</v>
      </c>
      <c r="O18" s="28">
        <f t="shared" si="2"/>
        <v>100</v>
      </c>
      <c r="P18" s="28">
        <f t="shared" si="3"/>
        <v>100</v>
      </c>
      <c r="Q18" s="28">
        <f t="shared" si="4"/>
        <v>100</v>
      </c>
      <c r="R18" s="195" t="s">
        <v>339</v>
      </c>
      <c r="S18" s="195" t="s">
        <v>339</v>
      </c>
      <c r="T18" s="13"/>
    </row>
    <row r="19" spans="1:20" s="2" customFormat="1" ht="45.75" customHeight="1" x14ac:dyDescent="0.25">
      <c r="A19" s="14"/>
      <c r="B19" s="13" t="s">
        <v>124</v>
      </c>
      <c r="C19" s="51" t="s">
        <v>33</v>
      </c>
      <c r="D19" s="28">
        <v>100</v>
      </c>
      <c r="E19" s="28">
        <v>100</v>
      </c>
      <c r="F19" s="28">
        <v>100</v>
      </c>
      <c r="G19" s="28">
        <v>100</v>
      </c>
      <c r="H19" s="28">
        <v>100</v>
      </c>
      <c r="I19" s="28">
        <v>100</v>
      </c>
      <c r="J19" s="28">
        <v>100</v>
      </c>
      <c r="K19" s="28">
        <v>100</v>
      </c>
      <c r="L19" s="28">
        <v>100</v>
      </c>
      <c r="M19" s="28">
        <v>100</v>
      </c>
      <c r="N19" s="28">
        <f t="shared" si="5"/>
        <v>100</v>
      </c>
      <c r="O19" s="28">
        <f t="shared" si="2"/>
        <v>100</v>
      </c>
      <c r="P19" s="28">
        <f t="shared" si="3"/>
        <v>100</v>
      </c>
      <c r="Q19" s="28">
        <f t="shared" si="4"/>
        <v>100</v>
      </c>
      <c r="R19" s="195" t="s">
        <v>339</v>
      </c>
      <c r="S19" s="195" t="s">
        <v>339</v>
      </c>
      <c r="T19" s="13"/>
    </row>
    <row r="20" spans="1:20" s="2" customFormat="1" ht="45.75" customHeight="1" x14ac:dyDescent="0.25">
      <c r="A20" s="14"/>
      <c r="B20" s="50" t="s">
        <v>125</v>
      </c>
      <c r="C20" s="51" t="s">
        <v>33</v>
      </c>
      <c r="D20" s="28">
        <v>100</v>
      </c>
      <c r="E20" s="28">
        <v>100</v>
      </c>
      <c r="F20" s="28">
        <v>100</v>
      </c>
      <c r="G20" s="28">
        <v>100</v>
      </c>
      <c r="H20" s="28">
        <v>100</v>
      </c>
      <c r="I20" s="28">
        <v>100</v>
      </c>
      <c r="J20" s="28">
        <v>100</v>
      </c>
      <c r="K20" s="28">
        <v>100</v>
      </c>
      <c r="L20" s="28">
        <v>100</v>
      </c>
      <c r="M20" s="28">
        <v>100</v>
      </c>
      <c r="N20" s="28">
        <f t="shared" si="5"/>
        <v>100</v>
      </c>
      <c r="O20" s="28">
        <f t="shared" si="2"/>
        <v>100</v>
      </c>
      <c r="P20" s="28">
        <f t="shared" si="3"/>
        <v>100</v>
      </c>
      <c r="Q20" s="28">
        <f t="shared" si="4"/>
        <v>100</v>
      </c>
      <c r="R20" s="195" t="s">
        <v>339</v>
      </c>
      <c r="S20" s="195" t="s">
        <v>339</v>
      </c>
      <c r="T20" s="13"/>
    </row>
  </sheetData>
  <mergeCells count="18">
    <mergeCell ref="A2:T2"/>
    <mergeCell ref="A5:A6"/>
    <mergeCell ref="B5:B6"/>
    <mergeCell ref="C5:C6"/>
    <mergeCell ref="D5:D6"/>
    <mergeCell ref="E5:E6"/>
    <mergeCell ref="I5:J5"/>
    <mergeCell ref="L5:L6"/>
    <mergeCell ref="M5:M6"/>
    <mergeCell ref="O5:Q5"/>
    <mergeCell ref="T5:T6"/>
    <mergeCell ref="F5:F6"/>
    <mergeCell ref="K5:K6"/>
    <mergeCell ref="R5:S5"/>
    <mergeCell ref="G5:G6"/>
    <mergeCell ref="H5:H6"/>
    <mergeCell ref="A3:T3"/>
    <mergeCell ref="N5:N6"/>
  </mergeCells>
  <pageMargins left="0.45" right="0.45" top="0.5" bottom="0.75" header="0.3" footer="0.3"/>
  <pageSetup paperSize="9" scale="4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39"/>
  <sheetViews>
    <sheetView topLeftCell="A4" zoomScale="55" zoomScaleNormal="55" workbookViewId="0">
      <pane xSplit="9" ySplit="3" topLeftCell="J7" activePane="bottomRight" state="frozen"/>
      <selection activeCell="A4" sqref="A4"/>
      <selection pane="topRight" activeCell="J4" sqref="J4"/>
      <selection pane="bottomLeft" activeCell="A7" sqref="A7"/>
      <selection pane="bottomRight" activeCell="R4" sqref="R1:S1048576"/>
    </sheetView>
  </sheetViews>
  <sheetFormatPr defaultColWidth="9.140625" defaultRowHeight="18.75" x14ac:dyDescent="0.3"/>
  <cols>
    <col min="1" max="1" width="9.140625" style="1"/>
    <col min="2" max="2" width="38.42578125" style="52" customWidth="1"/>
    <col min="3" max="3" width="11.42578125" style="1" customWidth="1"/>
    <col min="4" max="4" width="13" style="1" customWidth="1"/>
    <col min="5" max="5" width="13.7109375" style="1" hidden="1" customWidth="1"/>
    <col min="6" max="6" width="13.7109375" style="1" customWidth="1"/>
    <col min="7" max="7" width="14.5703125" style="1" customWidth="1"/>
    <col min="8" max="10" width="13.7109375" style="1" customWidth="1"/>
    <col min="11" max="11" width="13.7109375" style="93" customWidth="1"/>
    <col min="12" max="14" width="13.7109375" style="1" customWidth="1"/>
    <col min="15" max="17" width="14.7109375" style="1" customWidth="1"/>
    <col min="18" max="19" width="14.7109375" style="1" hidden="1" customWidth="1"/>
    <col min="20" max="20" width="17.140625" style="1" customWidth="1"/>
    <col min="21" max="21" width="11.5703125" style="1" bestFit="1" customWidth="1"/>
    <col min="22" max="22" width="10.140625" style="1" bestFit="1" customWidth="1"/>
    <col min="23" max="16384" width="9.140625" style="1"/>
  </cols>
  <sheetData>
    <row r="1" spans="1:20" x14ac:dyDescent="0.3">
      <c r="A1" s="23"/>
      <c r="I1" s="25"/>
      <c r="J1" s="25"/>
      <c r="K1" s="158"/>
      <c r="O1" s="396" t="s">
        <v>201</v>
      </c>
      <c r="P1" s="396"/>
      <c r="Q1" s="396"/>
      <c r="R1" s="396"/>
      <c r="S1" s="396"/>
      <c r="T1" s="396"/>
    </row>
    <row r="2" spans="1:20" ht="35.25" customHeight="1" x14ac:dyDescent="0.3">
      <c r="A2" s="394" t="s">
        <v>333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</row>
    <row r="3" spans="1:20" ht="27.75" customHeight="1" x14ac:dyDescent="0.3">
      <c r="A3" s="393" t="str">
        <f>'1. CTCY'!A3:T3</f>
        <v>(Kèm theo báo cáo số:                 /BC-UBND ngày               tháng              năm 2023 của UBND thành phố Lai Châu)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</row>
    <row r="4" spans="1:20" x14ac:dyDescent="0.3">
      <c r="A4" s="23"/>
      <c r="I4" s="93"/>
      <c r="J4" s="93"/>
      <c r="L4" s="93"/>
      <c r="M4" s="93"/>
      <c r="N4" s="93"/>
      <c r="O4" s="93"/>
      <c r="P4" s="93"/>
      <c r="Q4" s="93"/>
      <c r="R4" s="93"/>
      <c r="S4" s="93"/>
      <c r="T4" s="93"/>
    </row>
    <row r="5" spans="1:20" s="53" customFormat="1" ht="39.75" customHeight="1" x14ac:dyDescent="0.25">
      <c r="A5" s="377" t="s">
        <v>313</v>
      </c>
      <c r="B5" s="377" t="s">
        <v>312</v>
      </c>
      <c r="C5" s="377" t="s">
        <v>311</v>
      </c>
      <c r="D5" s="377" t="s">
        <v>315</v>
      </c>
      <c r="E5" s="377" t="s">
        <v>321</v>
      </c>
      <c r="F5" s="377" t="s">
        <v>320</v>
      </c>
      <c r="G5" s="377" t="s">
        <v>310</v>
      </c>
      <c r="H5" s="377" t="s">
        <v>309</v>
      </c>
      <c r="I5" s="386" t="s">
        <v>319</v>
      </c>
      <c r="J5" s="386"/>
      <c r="K5" s="377" t="s">
        <v>356</v>
      </c>
      <c r="L5" s="377" t="s">
        <v>352</v>
      </c>
      <c r="M5" s="377" t="s">
        <v>353</v>
      </c>
      <c r="N5" s="377" t="s">
        <v>349</v>
      </c>
      <c r="O5" s="397" t="s">
        <v>308</v>
      </c>
      <c r="P5" s="398"/>
      <c r="Q5" s="399"/>
      <c r="R5" s="379" t="s">
        <v>336</v>
      </c>
      <c r="S5" s="379"/>
      <c r="T5" s="375" t="s">
        <v>314</v>
      </c>
    </row>
    <row r="6" spans="1:20" s="53" customFormat="1" ht="170.25" customHeight="1" x14ac:dyDescent="0.25">
      <c r="A6" s="378"/>
      <c r="B6" s="378"/>
      <c r="C6" s="378"/>
      <c r="D6" s="378"/>
      <c r="E6" s="378"/>
      <c r="F6" s="378"/>
      <c r="G6" s="378"/>
      <c r="H6" s="378"/>
      <c r="I6" s="258" t="s">
        <v>344</v>
      </c>
      <c r="J6" s="258" t="s">
        <v>345</v>
      </c>
      <c r="K6" s="378"/>
      <c r="L6" s="378"/>
      <c r="M6" s="378"/>
      <c r="N6" s="378"/>
      <c r="O6" s="260" t="s">
        <v>354</v>
      </c>
      <c r="P6" s="260" t="s">
        <v>357</v>
      </c>
      <c r="Q6" s="260" t="s">
        <v>358</v>
      </c>
      <c r="R6" s="259" t="s">
        <v>337</v>
      </c>
      <c r="S6" s="259" t="s">
        <v>338</v>
      </c>
      <c r="T6" s="376"/>
    </row>
    <row r="7" spans="1:20" s="53" customFormat="1" x14ac:dyDescent="0.25">
      <c r="A7" s="94">
        <v>1</v>
      </c>
      <c r="B7" s="94">
        <v>2</v>
      </c>
      <c r="C7" s="94">
        <v>3</v>
      </c>
      <c r="D7" s="94">
        <v>4</v>
      </c>
      <c r="E7" s="94"/>
      <c r="F7" s="94">
        <v>5</v>
      </c>
      <c r="G7" s="94">
        <v>6</v>
      </c>
      <c r="H7" s="94">
        <v>7</v>
      </c>
      <c r="I7" s="9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145" t="s">
        <v>359</v>
      </c>
      <c r="P7" s="145" t="s">
        <v>360</v>
      </c>
      <c r="Q7" s="145" t="s">
        <v>355</v>
      </c>
      <c r="R7" s="4">
        <v>17</v>
      </c>
      <c r="S7" s="94">
        <v>18</v>
      </c>
      <c r="T7" s="94">
        <v>19</v>
      </c>
    </row>
    <row r="8" spans="1:20" s="53" customFormat="1" ht="42.75" customHeight="1" x14ac:dyDescent="0.25">
      <c r="A8" s="6">
        <v>1</v>
      </c>
      <c r="B8" s="278" t="s">
        <v>126</v>
      </c>
      <c r="C8" s="14"/>
      <c r="D8" s="14"/>
      <c r="E8" s="14"/>
      <c r="F8" s="14"/>
      <c r="G8" s="14"/>
      <c r="H8" s="14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s="53" customFormat="1" ht="70.5" customHeight="1" x14ac:dyDescent="0.25">
      <c r="A9" s="54"/>
      <c r="B9" s="55" t="s">
        <v>127</v>
      </c>
      <c r="C9" s="56" t="s">
        <v>39</v>
      </c>
      <c r="D9" s="101">
        <v>3326</v>
      </c>
      <c r="E9" s="110">
        <v>4831</v>
      </c>
      <c r="F9" s="110">
        <v>20957</v>
      </c>
      <c r="G9" s="110">
        <v>3285</v>
      </c>
      <c r="H9" s="110">
        <v>3454</v>
      </c>
      <c r="I9" s="110">
        <v>1850</v>
      </c>
      <c r="J9" s="110">
        <v>4031</v>
      </c>
      <c r="K9" s="110">
        <f>+G9+H9+I9</f>
        <v>8589</v>
      </c>
      <c r="L9" s="110">
        <f>4463</f>
        <v>4463</v>
      </c>
      <c r="M9" s="110">
        <f>4797</f>
        <v>4797</v>
      </c>
      <c r="N9" s="110">
        <f>+G9+H9+J9+L9+M9</f>
        <v>20030</v>
      </c>
      <c r="O9" s="110">
        <f>K9/D9%</f>
        <v>258.23812387251957</v>
      </c>
      <c r="P9" s="110">
        <f>K9/F9%</f>
        <v>40.98391945412034</v>
      </c>
      <c r="Q9" s="110">
        <f>N9/F9%</f>
        <v>95.576656964260152</v>
      </c>
      <c r="R9" s="118"/>
      <c r="S9" s="118"/>
      <c r="T9" s="14"/>
    </row>
    <row r="10" spans="1:20" s="159" customFormat="1" ht="76.5" customHeight="1" x14ac:dyDescent="0.25">
      <c r="A10" s="246"/>
      <c r="B10" s="15" t="s">
        <v>128</v>
      </c>
      <c r="C10" s="247" t="s">
        <v>129</v>
      </c>
      <c r="D10" s="101"/>
      <c r="E10" s="165">
        <v>7.7531084077337713</v>
      </c>
      <c r="F10" s="165">
        <v>7.8</v>
      </c>
      <c r="G10" s="257">
        <f>(G9-D9)/D9%</f>
        <v>-1.2327119663259172</v>
      </c>
      <c r="H10" s="257">
        <f>(H9-G9)/G9%</f>
        <v>5.1445966514459665</v>
      </c>
      <c r="I10" s="99"/>
      <c r="J10" s="256">
        <f>(J9-H9)/H9%</f>
        <v>16.705269253039955</v>
      </c>
      <c r="K10" s="102">
        <f>+J10</f>
        <v>16.705269253039955</v>
      </c>
      <c r="L10" s="256">
        <f>(L9-J9)/J9%</f>
        <v>10.716943686430165</v>
      </c>
      <c r="M10" s="256">
        <f>(M9-L9)/L9%</f>
        <v>7.4837553215326009</v>
      </c>
      <c r="N10" s="102">
        <f>(G10+H10+J10+L10+M10)/5</f>
        <v>7.7635705892245541</v>
      </c>
      <c r="O10" s="110"/>
      <c r="P10" s="110">
        <f>K10/F10%</f>
        <v>214.17011862871738</v>
      </c>
      <c r="Q10" s="110">
        <f>N10/F10%</f>
        <v>99.532956272109672</v>
      </c>
      <c r="R10" s="118"/>
      <c r="S10" s="118"/>
      <c r="T10" s="22"/>
    </row>
    <row r="11" spans="1:20" s="53" customFormat="1" ht="58.5" customHeight="1" x14ac:dyDescent="0.25">
      <c r="A11" s="193">
        <v>2</v>
      </c>
      <c r="B11" s="194" t="s">
        <v>155</v>
      </c>
      <c r="C11" s="193" t="s">
        <v>39</v>
      </c>
      <c r="D11" s="202"/>
      <c r="E11" s="209">
        <v>519</v>
      </c>
      <c r="F11" s="209">
        <v>2519</v>
      </c>
      <c r="G11" s="108"/>
      <c r="H11" s="108" t="s">
        <v>350</v>
      </c>
      <c r="I11" s="108"/>
      <c r="J11" s="108"/>
      <c r="K11" s="108"/>
      <c r="L11" s="109"/>
      <c r="M11" s="109"/>
      <c r="N11" s="109"/>
      <c r="O11" s="121"/>
      <c r="P11" s="124"/>
      <c r="Q11" s="124"/>
      <c r="R11" s="124"/>
      <c r="S11" s="124"/>
      <c r="T11" s="108"/>
    </row>
    <row r="12" spans="1:20" s="53" customFormat="1" ht="46.5" customHeight="1" x14ac:dyDescent="0.25">
      <c r="A12" s="108"/>
      <c r="B12" s="214" t="s">
        <v>130</v>
      </c>
      <c r="C12" s="194"/>
      <c r="D12" s="202"/>
      <c r="E12" s="203"/>
      <c r="F12" s="203"/>
      <c r="G12" s="108"/>
      <c r="H12" s="108"/>
      <c r="I12" s="108"/>
      <c r="J12" s="108"/>
      <c r="K12" s="108"/>
      <c r="L12" s="109"/>
      <c r="M12" s="109"/>
      <c r="N12" s="109"/>
      <c r="O12" s="121"/>
      <c r="P12" s="124"/>
      <c r="Q12" s="124"/>
      <c r="R12" s="124"/>
      <c r="S12" s="124"/>
      <c r="T12" s="108"/>
    </row>
    <row r="13" spans="1:20" s="53" customFormat="1" ht="52.5" customHeight="1" x14ac:dyDescent="0.25">
      <c r="A13" s="108"/>
      <c r="B13" s="215" t="s">
        <v>131</v>
      </c>
      <c r="C13" s="108" t="s">
        <v>132</v>
      </c>
      <c r="D13" s="202"/>
      <c r="E13" s="203">
        <v>45</v>
      </c>
      <c r="F13" s="209">
        <v>213</v>
      </c>
      <c r="G13" s="108"/>
      <c r="H13" s="108"/>
      <c r="I13" s="108"/>
      <c r="J13" s="108"/>
      <c r="K13" s="108"/>
      <c r="L13" s="109"/>
      <c r="M13" s="109"/>
      <c r="N13" s="109"/>
      <c r="O13" s="121"/>
      <c r="P13" s="124"/>
      <c r="Q13" s="124"/>
      <c r="R13" s="124"/>
      <c r="S13" s="124"/>
      <c r="T13" s="108"/>
    </row>
    <row r="14" spans="1:20" s="53" customFormat="1" ht="47.25" customHeight="1" x14ac:dyDescent="0.25">
      <c r="A14" s="108"/>
      <c r="B14" s="215" t="s">
        <v>133</v>
      </c>
      <c r="C14" s="108" t="s">
        <v>132</v>
      </c>
      <c r="D14" s="202"/>
      <c r="E14" s="203">
        <v>356</v>
      </c>
      <c r="F14" s="209">
        <v>1751</v>
      </c>
      <c r="G14" s="108"/>
      <c r="H14" s="108"/>
      <c r="I14" s="108"/>
      <c r="J14" s="108"/>
      <c r="K14" s="108"/>
      <c r="L14" s="109"/>
      <c r="M14" s="109"/>
      <c r="N14" s="109"/>
      <c r="O14" s="121"/>
      <c r="P14" s="124"/>
      <c r="Q14" s="124"/>
      <c r="R14" s="124"/>
      <c r="S14" s="124"/>
      <c r="T14" s="108"/>
    </row>
    <row r="15" spans="1:20" s="53" customFormat="1" ht="57" customHeight="1" x14ac:dyDescent="0.25">
      <c r="A15" s="108"/>
      <c r="B15" s="215" t="s">
        <v>134</v>
      </c>
      <c r="C15" s="108" t="s">
        <v>132</v>
      </c>
      <c r="D15" s="202"/>
      <c r="E15" s="203">
        <v>118</v>
      </c>
      <c r="F15" s="209">
        <v>555</v>
      </c>
      <c r="G15" s="108"/>
      <c r="H15" s="108"/>
      <c r="I15" s="108"/>
      <c r="J15" s="108"/>
      <c r="K15" s="108"/>
      <c r="L15" s="109"/>
      <c r="M15" s="109"/>
      <c r="N15" s="109"/>
      <c r="O15" s="121"/>
      <c r="P15" s="124"/>
      <c r="Q15" s="124"/>
      <c r="R15" s="124"/>
      <c r="S15" s="124"/>
      <c r="T15" s="108"/>
    </row>
    <row r="16" spans="1:20" s="53" customFormat="1" ht="57" customHeight="1" x14ac:dyDescent="0.25">
      <c r="A16" s="193">
        <v>3</v>
      </c>
      <c r="B16" s="194" t="s">
        <v>156</v>
      </c>
      <c r="C16" s="194"/>
      <c r="D16" s="202"/>
      <c r="E16" s="203"/>
      <c r="F16" s="203"/>
      <c r="G16" s="108"/>
      <c r="H16" s="108"/>
      <c r="I16" s="108"/>
      <c r="J16" s="108"/>
      <c r="K16" s="108"/>
      <c r="L16" s="109"/>
      <c r="M16" s="109"/>
      <c r="N16" s="109"/>
      <c r="O16" s="121"/>
      <c r="P16" s="124"/>
      <c r="Q16" s="124"/>
      <c r="R16" s="124"/>
      <c r="S16" s="124"/>
      <c r="T16" s="108"/>
    </row>
    <row r="17" spans="1:22" ht="57" customHeight="1" x14ac:dyDescent="0.3">
      <c r="A17" s="108"/>
      <c r="B17" s="208" t="s">
        <v>135</v>
      </c>
      <c r="C17" s="123" t="s">
        <v>39</v>
      </c>
      <c r="D17" s="202"/>
      <c r="E17" s="203">
        <v>247.2</v>
      </c>
      <c r="F17" s="209">
        <v>1179</v>
      </c>
      <c r="G17" s="108"/>
      <c r="H17" s="108"/>
      <c r="I17" s="108"/>
      <c r="J17" s="108"/>
      <c r="K17" s="108"/>
      <c r="L17" s="109"/>
      <c r="M17" s="109"/>
      <c r="N17" s="109"/>
      <c r="O17" s="121"/>
      <c r="P17" s="124"/>
      <c r="Q17" s="124"/>
      <c r="R17" s="124"/>
      <c r="S17" s="124"/>
      <c r="T17" s="204"/>
    </row>
    <row r="18" spans="1:22" ht="66.75" customHeight="1" x14ac:dyDescent="0.3">
      <c r="A18" s="200"/>
      <c r="B18" s="122" t="s">
        <v>136</v>
      </c>
      <c r="C18" s="201" t="s">
        <v>129</v>
      </c>
      <c r="D18" s="202"/>
      <c r="E18" s="203">
        <v>5</v>
      </c>
      <c r="F18" s="203">
        <v>6.3</v>
      </c>
      <c r="G18" s="108"/>
      <c r="H18" s="108"/>
      <c r="I18" s="108"/>
      <c r="J18" s="108"/>
      <c r="K18" s="108"/>
      <c r="L18" s="109"/>
      <c r="M18" s="109"/>
      <c r="N18" s="109"/>
      <c r="O18" s="121"/>
      <c r="P18" s="124"/>
      <c r="Q18" s="124"/>
      <c r="R18" s="124"/>
      <c r="S18" s="124"/>
      <c r="T18" s="204"/>
    </row>
    <row r="19" spans="1:22" ht="66.75" customHeight="1" x14ac:dyDescent="0.3">
      <c r="A19" s="200"/>
      <c r="B19" s="122" t="s">
        <v>137</v>
      </c>
      <c r="C19" s="201" t="s">
        <v>129</v>
      </c>
      <c r="D19" s="202"/>
      <c r="E19" s="203">
        <v>4.5</v>
      </c>
      <c r="F19" s="203">
        <v>4</v>
      </c>
      <c r="G19" s="108"/>
      <c r="H19" s="108"/>
      <c r="I19" s="108"/>
      <c r="J19" s="108"/>
      <c r="K19" s="108"/>
      <c r="L19" s="109"/>
      <c r="M19" s="109"/>
      <c r="N19" s="109"/>
      <c r="O19" s="121"/>
      <c r="P19" s="124"/>
      <c r="Q19" s="124"/>
      <c r="R19" s="124"/>
      <c r="S19" s="124"/>
      <c r="T19" s="204"/>
    </row>
    <row r="20" spans="1:22" ht="66.75" customHeight="1" x14ac:dyDescent="0.3">
      <c r="A20" s="200"/>
      <c r="B20" s="122" t="s">
        <v>138</v>
      </c>
      <c r="C20" s="201" t="s">
        <v>129</v>
      </c>
      <c r="D20" s="202"/>
      <c r="E20" s="133">
        <v>4.5</v>
      </c>
      <c r="F20" s="133">
        <v>4</v>
      </c>
      <c r="G20" s="204"/>
      <c r="H20" s="204"/>
      <c r="I20" s="204"/>
      <c r="J20" s="204"/>
      <c r="K20" s="204"/>
      <c r="L20" s="109"/>
      <c r="M20" s="109"/>
      <c r="N20" s="109"/>
      <c r="O20" s="121"/>
      <c r="P20" s="124"/>
      <c r="Q20" s="124"/>
      <c r="R20" s="124"/>
      <c r="S20" s="124"/>
      <c r="T20" s="204"/>
    </row>
    <row r="21" spans="1:22" ht="66.75" customHeight="1" x14ac:dyDescent="0.3">
      <c r="A21" s="200"/>
      <c r="B21" s="122" t="s">
        <v>139</v>
      </c>
      <c r="C21" s="201" t="s">
        <v>129</v>
      </c>
      <c r="D21" s="202"/>
      <c r="E21" s="133">
        <v>5.8</v>
      </c>
      <c r="F21" s="133">
        <v>5.4</v>
      </c>
      <c r="G21" s="204"/>
      <c r="H21" s="204"/>
      <c r="I21" s="204"/>
      <c r="J21" s="204"/>
      <c r="K21" s="204"/>
      <c r="L21" s="109"/>
      <c r="M21" s="109"/>
      <c r="N21" s="109"/>
      <c r="O21" s="121"/>
      <c r="P21" s="124"/>
      <c r="Q21" s="124"/>
      <c r="R21" s="124"/>
      <c r="S21" s="124"/>
      <c r="T21" s="204"/>
    </row>
    <row r="22" spans="1:22" ht="47.25" customHeight="1" x14ac:dyDescent="0.3">
      <c r="A22" s="54">
        <v>4</v>
      </c>
      <c r="B22" s="261" t="s">
        <v>157</v>
      </c>
      <c r="C22" s="149"/>
      <c r="D22" s="20"/>
      <c r="E22" s="39"/>
      <c r="F22" s="39"/>
      <c r="G22" s="7"/>
      <c r="H22" s="7"/>
      <c r="I22" s="7"/>
      <c r="J22" s="7"/>
      <c r="K22" s="95"/>
      <c r="L22" s="13"/>
      <c r="M22" s="13"/>
      <c r="N22" s="13"/>
      <c r="O22" s="36"/>
      <c r="P22" s="32"/>
      <c r="Q22" s="32"/>
      <c r="R22" s="32"/>
      <c r="S22" s="32"/>
      <c r="T22" s="7"/>
    </row>
    <row r="23" spans="1:22" ht="47.25" customHeight="1" x14ac:dyDescent="0.3">
      <c r="A23" s="56" t="s">
        <v>58</v>
      </c>
      <c r="B23" s="59" t="s">
        <v>140</v>
      </c>
      <c r="C23" s="56"/>
      <c r="D23" s="20"/>
      <c r="E23" s="39"/>
      <c r="F23" s="39"/>
      <c r="G23" s="7"/>
      <c r="H23" s="7"/>
      <c r="I23" s="7"/>
      <c r="J23" s="7"/>
      <c r="K23" s="95"/>
      <c r="L23" s="13"/>
      <c r="M23" s="13"/>
      <c r="N23" s="13"/>
      <c r="O23" s="36"/>
      <c r="P23" s="32"/>
      <c r="Q23" s="32"/>
      <c r="R23" s="32"/>
      <c r="S23" s="32"/>
      <c r="T23" s="7"/>
    </row>
    <row r="24" spans="1:22" ht="47.25" customHeight="1" x14ac:dyDescent="0.3">
      <c r="A24" s="56"/>
      <c r="B24" s="60" t="s">
        <v>305</v>
      </c>
      <c r="C24" s="56" t="s">
        <v>141</v>
      </c>
      <c r="D24" s="20">
        <v>75300</v>
      </c>
      <c r="E24" s="28">
        <v>78222.789741039625</v>
      </c>
      <c r="F24" s="28">
        <v>78223</v>
      </c>
      <c r="G24" s="28">
        <v>91991</v>
      </c>
      <c r="H24" s="20">
        <v>92500</v>
      </c>
      <c r="I24" s="20">
        <v>92530</v>
      </c>
      <c r="J24" s="20">
        <v>92530</v>
      </c>
      <c r="K24" s="101">
        <f>J24</f>
        <v>92530</v>
      </c>
      <c r="L24" s="20">
        <v>92545</v>
      </c>
      <c r="M24" s="20">
        <v>92545</v>
      </c>
      <c r="N24" s="20">
        <f>M24</f>
        <v>92545</v>
      </c>
      <c r="O24" s="110">
        <f>K24/D24%</f>
        <v>122.88180610889775</v>
      </c>
      <c r="P24" s="110">
        <f>K24/F24%</f>
        <v>118.29001700267185</v>
      </c>
      <c r="Q24" s="110">
        <f>N24/F24%</f>
        <v>118.30919294836556</v>
      </c>
      <c r="R24" s="82" t="s">
        <v>339</v>
      </c>
      <c r="S24" s="82" t="s">
        <v>339</v>
      </c>
      <c r="T24" s="7"/>
      <c r="U24" s="134"/>
      <c r="V24" s="138"/>
    </row>
    <row r="25" spans="1:22" s="93" customFormat="1" ht="47.25" customHeight="1" x14ac:dyDescent="0.3">
      <c r="A25" s="29"/>
      <c r="B25" s="116" t="s">
        <v>142</v>
      </c>
      <c r="C25" s="29" t="s">
        <v>141</v>
      </c>
      <c r="D25" s="248">
        <v>13.05</v>
      </c>
      <c r="E25" s="106">
        <v>195.58570242132632</v>
      </c>
      <c r="F25" s="106">
        <v>195.6</v>
      </c>
      <c r="G25" s="249">
        <v>14.73</v>
      </c>
      <c r="H25" s="249">
        <v>14.89</v>
      </c>
      <c r="I25" s="249">
        <v>14.895</v>
      </c>
      <c r="J25" s="249">
        <v>14.92</v>
      </c>
      <c r="K25" s="249">
        <f>G25+H25+I25</f>
        <v>44.515000000000001</v>
      </c>
      <c r="L25" s="249">
        <f>17.89</f>
        <v>17.89</v>
      </c>
      <c r="M25" s="249">
        <f>19.567</f>
        <v>19.567</v>
      </c>
      <c r="N25" s="249">
        <f>G25+H25+J25+L25+M25</f>
        <v>81.997</v>
      </c>
      <c r="O25" s="110">
        <f t="shared" ref="O25:O29" si="0">K25/D25%</f>
        <v>341.11111111111109</v>
      </c>
      <c r="P25" s="110">
        <f t="shared" ref="P25:P29" si="1">K25/F25%</f>
        <v>22.758179959100204</v>
      </c>
      <c r="Q25" s="110">
        <f t="shared" ref="Q25:Q29" si="2">N25/F25%</f>
        <v>41.920756646216766</v>
      </c>
      <c r="R25" s="118"/>
      <c r="S25" s="118"/>
      <c r="T25" s="95"/>
      <c r="U25" s="117"/>
      <c r="V25" s="117"/>
    </row>
    <row r="26" spans="1:22" ht="47.25" customHeight="1" x14ac:dyDescent="0.3">
      <c r="A26" s="56" t="s">
        <v>16</v>
      </c>
      <c r="B26" s="59" t="s">
        <v>143</v>
      </c>
      <c r="C26" s="56"/>
      <c r="D26" s="20"/>
      <c r="E26" s="39"/>
      <c r="F26" s="39"/>
      <c r="G26" s="40"/>
      <c r="H26" s="7"/>
      <c r="I26" s="7"/>
      <c r="J26" s="7"/>
      <c r="K26" s="95"/>
      <c r="L26" s="13"/>
      <c r="M26" s="13"/>
      <c r="N26" s="13"/>
      <c r="O26" s="110"/>
      <c r="P26" s="110"/>
      <c r="Q26" s="110"/>
      <c r="R26" s="32"/>
      <c r="S26" s="32"/>
      <c r="T26" s="7"/>
    </row>
    <row r="27" spans="1:22" ht="47.25" customHeight="1" x14ac:dyDescent="0.3">
      <c r="A27" s="56"/>
      <c r="B27" s="59" t="s">
        <v>144</v>
      </c>
      <c r="C27" s="56" t="s">
        <v>145</v>
      </c>
      <c r="D27" s="20">
        <v>2400</v>
      </c>
      <c r="E27" s="28">
        <v>2400</v>
      </c>
      <c r="F27" s="28">
        <v>12000</v>
      </c>
      <c r="G27" s="28">
        <v>2400</v>
      </c>
      <c r="H27" s="28">
        <v>2400</v>
      </c>
      <c r="I27" s="28">
        <v>710</v>
      </c>
      <c r="J27" s="28">
        <v>2110</v>
      </c>
      <c r="K27" s="105">
        <f>G27+H27+I27</f>
        <v>5510</v>
      </c>
      <c r="L27" s="28">
        <f>2000</f>
        <v>2000</v>
      </c>
      <c r="M27" s="28">
        <f>2000</f>
        <v>2000</v>
      </c>
      <c r="N27" s="28">
        <f>G27+H27+J27+L27+M27</f>
        <v>10910</v>
      </c>
      <c r="O27" s="110">
        <f t="shared" si="0"/>
        <v>229.58333333333334</v>
      </c>
      <c r="P27" s="110">
        <f t="shared" si="1"/>
        <v>45.916666666666664</v>
      </c>
      <c r="Q27" s="110">
        <f t="shared" si="2"/>
        <v>90.916666666666671</v>
      </c>
      <c r="R27" s="32"/>
      <c r="S27" s="32"/>
      <c r="T27" s="7"/>
    </row>
    <row r="28" spans="1:22" ht="47.25" customHeight="1" x14ac:dyDescent="0.3">
      <c r="A28" s="56"/>
      <c r="B28" s="59" t="s">
        <v>146</v>
      </c>
      <c r="C28" s="56" t="s">
        <v>145</v>
      </c>
      <c r="D28" s="20"/>
      <c r="E28" s="28"/>
      <c r="F28" s="28"/>
      <c r="G28" s="28"/>
      <c r="H28" s="28"/>
      <c r="I28" s="28"/>
      <c r="J28" s="28"/>
      <c r="K28" s="105"/>
      <c r="L28" s="28"/>
      <c r="M28" s="28"/>
      <c r="N28" s="28"/>
      <c r="O28" s="110"/>
      <c r="P28" s="110"/>
      <c r="Q28" s="110"/>
      <c r="R28" s="32"/>
      <c r="S28" s="32"/>
      <c r="T28" s="7"/>
    </row>
    <row r="29" spans="1:22" ht="47.25" customHeight="1" x14ac:dyDescent="0.3">
      <c r="A29" s="56"/>
      <c r="B29" s="59" t="s">
        <v>147</v>
      </c>
      <c r="C29" s="56" t="s">
        <v>145</v>
      </c>
      <c r="D29" s="20">
        <v>2400</v>
      </c>
      <c r="E29" s="28">
        <v>2400</v>
      </c>
      <c r="F29" s="28">
        <v>12000</v>
      </c>
      <c r="G29" s="28">
        <v>2400</v>
      </c>
      <c r="H29" s="28">
        <v>2400</v>
      </c>
      <c r="I29" s="28">
        <v>710</v>
      </c>
      <c r="J29" s="28">
        <v>2110</v>
      </c>
      <c r="K29" s="105">
        <f>G29+H29+I29</f>
        <v>5510</v>
      </c>
      <c r="L29" s="28">
        <f>2000</f>
        <v>2000</v>
      </c>
      <c r="M29" s="28">
        <f>2000</f>
        <v>2000</v>
      </c>
      <c r="N29" s="28">
        <f>G29+H29+J29+L29+M29</f>
        <v>10910</v>
      </c>
      <c r="O29" s="110">
        <f t="shared" si="0"/>
        <v>229.58333333333334</v>
      </c>
      <c r="P29" s="110">
        <f t="shared" si="1"/>
        <v>45.916666666666664</v>
      </c>
      <c r="Q29" s="110">
        <f t="shared" si="2"/>
        <v>90.916666666666671</v>
      </c>
      <c r="R29" s="32"/>
      <c r="S29" s="32"/>
      <c r="T29" s="7"/>
    </row>
    <row r="30" spans="1:22" ht="47.25" customHeight="1" x14ac:dyDescent="0.3">
      <c r="A30" s="56" t="s">
        <v>68</v>
      </c>
      <c r="B30" s="59" t="s">
        <v>148</v>
      </c>
      <c r="C30" s="56"/>
      <c r="D30" s="20"/>
      <c r="E30" s="39"/>
      <c r="F30" s="39"/>
      <c r="G30" s="40"/>
      <c r="H30" s="7"/>
      <c r="I30" s="7"/>
      <c r="J30" s="7"/>
      <c r="K30" s="95"/>
      <c r="L30" s="13"/>
      <c r="M30" s="13"/>
      <c r="N30" s="13"/>
      <c r="O30" s="36"/>
      <c r="P30" s="32"/>
      <c r="Q30" s="32"/>
      <c r="R30" s="32"/>
      <c r="S30" s="32"/>
      <c r="T30" s="7"/>
    </row>
    <row r="31" spans="1:22" ht="47.25" customHeight="1" x14ac:dyDescent="0.3">
      <c r="A31" s="56"/>
      <c r="B31" s="59" t="s">
        <v>144</v>
      </c>
      <c r="C31" s="56" t="s">
        <v>145</v>
      </c>
      <c r="D31" s="20"/>
      <c r="E31" s="39"/>
      <c r="F31" s="39"/>
      <c r="G31" s="40"/>
      <c r="H31" s="7"/>
      <c r="I31" s="7"/>
      <c r="J31" s="7"/>
      <c r="K31" s="95"/>
      <c r="L31" s="13"/>
      <c r="M31" s="13"/>
      <c r="N31" s="13"/>
      <c r="O31" s="36"/>
      <c r="P31" s="32"/>
      <c r="Q31" s="32"/>
      <c r="R31" s="32"/>
      <c r="S31" s="32"/>
      <c r="T31" s="7"/>
    </row>
    <row r="32" spans="1:22" ht="47.25" customHeight="1" x14ac:dyDescent="0.3">
      <c r="A32" s="61"/>
      <c r="B32" s="59" t="s">
        <v>149</v>
      </c>
      <c r="C32" s="56" t="s">
        <v>145</v>
      </c>
      <c r="D32" s="20"/>
      <c r="E32" s="39"/>
      <c r="F32" s="39"/>
      <c r="G32" s="40"/>
      <c r="H32" s="7"/>
      <c r="I32" s="7"/>
      <c r="J32" s="7"/>
      <c r="K32" s="95"/>
      <c r="L32" s="13"/>
      <c r="M32" s="13"/>
      <c r="N32" s="13"/>
      <c r="O32" s="36"/>
      <c r="P32" s="32"/>
      <c r="Q32" s="32"/>
      <c r="R32" s="32"/>
      <c r="S32" s="32"/>
      <c r="T32" s="7"/>
    </row>
    <row r="33" spans="1:21" ht="47.25" customHeight="1" x14ac:dyDescent="0.3">
      <c r="A33" s="56"/>
      <c r="B33" s="59" t="s">
        <v>150</v>
      </c>
      <c r="C33" s="56" t="s">
        <v>145</v>
      </c>
      <c r="D33" s="20"/>
      <c r="E33" s="39"/>
      <c r="F33" s="39"/>
      <c r="G33" s="40"/>
      <c r="H33" s="7"/>
      <c r="I33" s="7"/>
      <c r="J33" s="7"/>
      <c r="K33" s="95"/>
      <c r="L33" s="13"/>
      <c r="M33" s="13"/>
      <c r="N33" s="13"/>
      <c r="O33" s="36"/>
      <c r="P33" s="32"/>
      <c r="Q33" s="32"/>
      <c r="R33" s="32"/>
      <c r="S33" s="32"/>
      <c r="T33" s="7"/>
    </row>
    <row r="34" spans="1:21" ht="44.25" customHeight="1" x14ac:dyDescent="0.3">
      <c r="A34" s="54">
        <v>5</v>
      </c>
      <c r="B34" s="261" t="s">
        <v>158</v>
      </c>
      <c r="C34" s="149"/>
      <c r="D34" s="20"/>
      <c r="E34" s="39"/>
      <c r="F34" s="39"/>
      <c r="G34" s="40"/>
      <c r="H34" s="7"/>
      <c r="I34" s="7"/>
      <c r="J34" s="7"/>
      <c r="K34" s="95"/>
      <c r="L34" s="13"/>
      <c r="M34" s="13"/>
      <c r="N34" s="13"/>
      <c r="O34" s="36"/>
      <c r="P34" s="32"/>
      <c r="Q34" s="32"/>
      <c r="R34" s="32"/>
      <c r="S34" s="32"/>
      <c r="T34" s="7"/>
    </row>
    <row r="35" spans="1:21" s="301" customFormat="1" ht="44.25" customHeight="1" x14ac:dyDescent="0.3">
      <c r="A35" s="335"/>
      <c r="B35" s="373" t="s">
        <v>151</v>
      </c>
      <c r="C35" s="309" t="s">
        <v>39</v>
      </c>
      <c r="D35" s="297">
        <v>151.27000000000001</v>
      </c>
      <c r="E35" s="322">
        <v>312.5</v>
      </c>
      <c r="F35" s="275">
        <v>1491</v>
      </c>
      <c r="G35" s="323">
        <v>88.75</v>
      </c>
      <c r="H35" s="323">
        <v>165.4</v>
      </c>
      <c r="I35" s="322">
        <v>102.354</v>
      </c>
      <c r="J35" s="374">
        <v>203.3</v>
      </c>
      <c r="K35" s="322">
        <f>G35+H35+I35</f>
        <v>356.50400000000002</v>
      </c>
      <c r="L35" s="374">
        <f>388.2</f>
        <v>388.2</v>
      </c>
      <c r="M35" s="322">
        <f>407.85</f>
        <v>407.85</v>
      </c>
      <c r="N35" s="322">
        <f>+G35+H35+J35+L35+M35</f>
        <v>1253.5</v>
      </c>
      <c r="O35" s="296">
        <f t="shared" ref="O35:O37" si="3">K35/D35%</f>
        <v>235.67396046803728</v>
      </c>
      <c r="P35" s="296">
        <f t="shared" ref="P35:P37" si="4">K35/F35%</f>
        <v>23.910395707578807</v>
      </c>
      <c r="Q35" s="296">
        <f t="shared" ref="Q35:Q37" si="5">N35/F35%</f>
        <v>84.071093226022796</v>
      </c>
      <c r="R35" s="318"/>
      <c r="S35" s="318"/>
      <c r="T35" s="250"/>
    </row>
    <row r="36" spans="1:21" s="301" customFormat="1" ht="44.25" customHeight="1" x14ac:dyDescent="0.3">
      <c r="A36" s="335"/>
      <c r="B36" s="302" t="s">
        <v>152</v>
      </c>
      <c r="C36" s="309" t="s">
        <v>153</v>
      </c>
      <c r="D36" s="297">
        <v>1414</v>
      </c>
      <c r="E36" s="275">
        <v>10211</v>
      </c>
      <c r="F36" s="275">
        <v>47900</v>
      </c>
      <c r="G36" s="275">
        <v>250</v>
      </c>
      <c r="H36" s="275">
        <v>2037</v>
      </c>
      <c r="I36" s="275">
        <v>1600</v>
      </c>
      <c r="J36" s="275">
        <v>2500</v>
      </c>
      <c r="K36" s="275">
        <f>G36+H36+I36</f>
        <v>3887</v>
      </c>
      <c r="L36" s="275">
        <f>14300</f>
        <v>14300</v>
      </c>
      <c r="M36" s="275">
        <f>16100</f>
        <v>16100</v>
      </c>
      <c r="N36" s="275">
        <f t="shared" ref="N36:N37" si="6">+G36+H36+J36+L36+M36</f>
        <v>35187</v>
      </c>
      <c r="O36" s="275">
        <f t="shared" si="3"/>
        <v>274.89391796322491</v>
      </c>
      <c r="P36" s="275">
        <f t="shared" si="4"/>
        <v>8.1148225469728601</v>
      </c>
      <c r="Q36" s="275">
        <f t="shared" si="5"/>
        <v>73.45929018789144</v>
      </c>
      <c r="R36" s="318"/>
      <c r="S36" s="318"/>
      <c r="T36" s="250"/>
    </row>
    <row r="37" spans="1:21" s="301" customFormat="1" ht="44.25" customHeight="1" x14ac:dyDescent="0.3">
      <c r="A37" s="335"/>
      <c r="B37" s="302" t="s">
        <v>154</v>
      </c>
      <c r="C37" s="309" t="s">
        <v>153</v>
      </c>
      <c r="D37" s="297">
        <v>89384</v>
      </c>
      <c r="E37" s="275">
        <v>121520</v>
      </c>
      <c r="F37" s="275">
        <v>584237</v>
      </c>
      <c r="G37" s="275">
        <v>70000</v>
      </c>
      <c r="H37" s="275">
        <v>123377</v>
      </c>
      <c r="I37" s="275">
        <v>88200</v>
      </c>
      <c r="J37" s="275">
        <v>162500</v>
      </c>
      <c r="K37" s="275">
        <f>G37+H37+I37</f>
        <v>281577</v>
      </c>
      <c r="L37" s="275">
        <f>214150</f>
        <v>214150</v>
      </c>
      <c r="M37" s="275">
        <f>326750</f>
        <v>326750</v>
      </c>
      <c r="N37" s="275">
        <f t="shared" si="6"/>
        <v>896777</v>
      </c>
      <c r="O37" s="275">
        <f t="shared" si="3"/>
        <v>315.01946657119839</v>
      </c>
      <c r="P37" s="275">
        <f t="shared" si="4"/>
        <v>48.19568086238975</v>
      </c>
      <c r="Q37" s="275">
        <f t="shared" si="5"/>
        <v>153.49541367629917</v>
      </c>
      <c r="R37" s="318"/>
      <c r="S37" s="272" t="s">
        <v>339</v>
      </c>
      <c r="T37" s="251"/>
    </row>
    <row r="38" spans="1:21" x14ac:dyDescent="0.3">
      <c r="U38" s="93"/>
    </row>
    <row r="39" spans="1:21" x14ac:dyDescent="0.3">
      <c r="D39" s="252"/>
      <c r="E39" s="252"/>
      <c r="F39" s="252"/>
      <c r="G39" s="252"/>
      <c r="H39" s="252"/>
      <c r="I39" s="252"/>
      <c r="J39" s="252"/>
      <c r="K39" s="263"/>
      <c r="L39" s="252"/>
      <c r="M39" s="252"/>
      <c r="N39" s="252"/>
      <c r="O39" s="252"/>
      <c r="P39" s="252"/>
      <c r="Q39" s="252"/>
      <c r="R39" s="252"/>
      <c r="S39" s="252"/>
      <c r="T39" s="252"/>
      <c r="U39" s="253"/>
    </row>
  </sheetData>
  <mergeCells count="19">
    <mergeCell ref="O1:T1"/>
    <mergeCell ref="M5:M6"/>
    <mergeCell ref="O5:Q5"/>
    <mergeCell ref="T5:T6"/>
    <mergeCell ref="A3:T3"/>
    <mergeCell ref="A2:T2"/>
    <mergeCell ref="A5:A6"/>
    <mergeCell ref="B5:B6"/>
    <mergeCell ref="C5:C6"/>
    <mergeCell ref="D5:D6"/>
    <mergeCell ref="E5:E6"/>
    <mergeCell ref="G5:G6"/>
    <mergeCell ref="H5:H6"/>
    <mergeCell ref="I5:J5"/>
    <mergeCell ref="L5:L6"/>
    <mergeCell ref="F5:F6"/>
    <mergeCell ref="K5:K6"/>
    <mergeCell ref="R5:S5"/>
    <mergeCell ref="N5:N6"/>
  </mergeCells>
  <pageMargins left="0.45" right="0.45" top="0.5" bottom="0.5" header="0.3" footer="0.3"/>
  <pageSetup paperSize="9" scale="47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48"/>
  <sheetViews>
    <sheetView topLeftCell="A4" zoomScale="85" zoomScaleNormal="85" workbookViewId="0">
      <pane xSplit="9" ySplit="3" topLeftCell="J7" activePane="bottomRight" state="frozen"/>
      <selection activeCell="A4" sqref="A4"/>
      <selection pane="topRight" activeCell="J4" sqref="J4"/>
      <selection pane="bottomLeft" activeCell="A7" sqref="A7"/>
      <selection pane="bottomRight" activeCell="R4" sqref="R1:S1048576"/>
    </sheetView>
  </sheetViews>
  <sheetFormatPr defaultColWidth="9.140625" defaultRowHeight="18.75" x14ac:dyDescent="0.3"/>
  <cols>
    <col min="1" max="1" width="9.140625" style="1"/>
    <col min="2" max="2" width="38.42578125" style="52" customWidth="1"/>
    <col min="3" max="3" width="11.42578125" style="1" customWidth="1"/>
    <col min="4" max="4" width="12.42578125" style="24" customWidth="1"/>
    <col min="5" max="5" width="12.5703125" style="1" hidden="1" customWidth="1"/>
    <col min="6" max="14" width="12.85546875" style="1" customWidth="1"/>
    <col min="15" max="15" width="13.28515625" style="1" customWidth="1"/>
    <col min="16" max="17" width="14.42578125" style="1" customWidth="1"/>
    <col min="18" max="19" width="14.42578125" style="23" hidden="1" customWidth="1"/>
    <col min="20" max="20" width="12.85546875" style="1" customWidth="1"/>
    <col min="21" max="16384" width="9.140625" style="1"/>
  </cols>
  <sheetData>
    <row r="1" spans="1:20" x14ac:dyDescent="0.3">
      <c r="A1" s="23"/>
      <c r="I1" s="25"/>
      <c r="J1" s="25"/>
      <c r="K1" s="25"/>
      <c r="P1" s="396" t="s">
        <v>280</v>
      </c>
      <c r="Q1" s="396"/>
      <c r="R1" s="396"/>
      <c r="S1" s="396"/>
      <c r="T1" s="396"/>
    </row>
    <row r="2" spans="1:20" ht="35.25" customHeight="1" x14ac:dyDescent="0.3">
      <c r="A2" s="394" t="s">
        <v>334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</row>
    <row r="3" spans="1:20" x14ac:dyDescent="0.3">
      <c r="A3" s="393" t="str">
        <f>'1. CTCY'!A3:T3</f>
        <v>(Kèm theo báo cáo số:                 /BC-UBND ngày               tháng              năm 2023 của UBND thành phố Lai Châu)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</row>
    <row r="4" spans="1:20" x14ac:dyDescent="0.3">
      <c r="A4" s="23"/>
    </row>
    <row r="5" spans="1:20" s="53" customFormat="1" ht="50.25" customHeight="1" x14ac:dyDescent="0.25">
      <c r="A5" s="400" t="s">
        <v>313</v>
      </c>
      <c r="B5" s="400" t="s">
        <v>312</v>
      </c>
      <c r="C5" s="400" t="s">
        <v>311</v>
      </c>
      <c r="D5" s="377" t="s">
        <v>315</v>
      </c>
      <c r="E5" s="377" t="s">
        <v>321</v>
      </c>
      <c r="F5" s="377" t="s">
        <v>320</v>
      </c>
      <c r="G5" s="377" t="s">
        <v>310</v>
      </c>
      <c r="H5" s="377" t="s">
        <v>309</v>
      </c>
      <c r="I5" s="395" t="s">
        <v>319</v>
      </c>
      <c r="J5" s="395"/>
      <c r="K5" s="377" t="s">
        <v>356</v>
      </c>
      <c r="L5" s="377" t="s">
        <v>352</v>
      </c>
      <c r="M5" s="377" t="s">
        <v>353</v>
      </c>
      <c r="N5" s="377" t="s">
        <v>349</v>
      </c>
      <c r="O5" s="388" t="s">
        <v>308</v>
      </c>
      <c r="P5" s="389"/>
      <c r="Q5" s="390"/>
      <c r="R5" s="392" t="s">
        <v>336</v>
      </c>
      <c r="S5" s="392"/>
      <c r="T5" s="377" t="s">
        <v>314</v>
      </c>
    </row>
    <row r="6" spans="1:20" s="53" customFormat="1" ht="162" customHeight="1" x14ac:dyDescent="0.25">
      <c r="A6" s="401"/>
      <c r="B6" s="401"/>
      <c r="C6" s="401"/>
      <c r="D6" s="378"/>
      <c r="E6" s="378"/>
      <c r="F6" s="378"/>
      <c r="G6" s="378"/>
      <c r="H6" s="378"/>
      <c r="I6" s="3" t="s">
        <v>346</v>
      </c>
      <c r="J6" s="3" t="s">
        <v>345</v>
      </c>
      <c r="K6" s="378"/>
      <c r="L6" s="378"/>
      <c r="M6" s="378"/>
      <c r="N6" s="378"/>
      <c r="O6" s="260" t="s">
        <v>354</v>
      </c>
      <c r="P6" s="260" t="s">
        <v>357</v>
      </c>
      <c r="Q6" s="260" t="s">
        <v>358</v>
      </c>
      <c r="R6" s="135" t="s">
        <v>337</v>
      </c>
      <c r="S6" s="135" t="s">
        <v>338</v>
      </c>
      <c r="T6" s="378"/>
    </row>
    <row r="7" spans="1:20" s="53" customFormat="1" x14ac:dyDescent="0.25">
      <c r="A7" s="94">
        <v>1</v>
      </c>
      <c r="B7" s="94">
        <v>2</v>
      </c>
      <c r="C7" s="94">
        <v>3</v>
      </c>
      <c r="D7" s="94">
        <v>4</v>
      </c>
      <c r="E7" s="94"/>
      <c r="F7" s="94">
        <v>5</v>
      </c>
      <c r="G7" s="94">
        <v>6</v>
      </c>
      <c r="H7" s="94">
        <v>7</v>
      </c>
      <c r="I7" s="9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145" t="s">
        <v>359</v>
      </c>
      <c r="P7" s="145" t="s">
        <v>360</v>
      </c>
      <c r="Q7" s="145" t="s">
        <v>355</v>
      </c>
      <c r="R7" s="4">
        <v>17</v>
      </c>
      <c r="S7" s="94">
        <v>18</v>
      </c>
      <c r="T7" s="94">
        <v>19</v>
      </c>
    </row>
    <row r="8" spans="1:20" s="53" customFormat="1" ht="39" customHeight="1" x14ac:dyDescent="0.25">
      <c r="A8" s="62" t="s">
        <v>1</v>
      </c>
      <c r="B8" s="63" t="s">
        <v>159</v>
      </c>
      <c r="C8" s="64"/>
      <c r="D8" s="57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s="53" customFormat="1" ht="37.5" customHeight="1" x14ac:dyDescent="0.25">
      <c r="A9" s="62" t="s">
        <v>47</v>
      </c>
      <c r="B9" s="63" t="s">
        <v>160</v>
      </c>
      <c r="C9" s="68" t="s">
        <v>163</v>
      </c>
      <c r="D9" s="114">
        <v>12944</v>
      </c>
      <c r="E9" s="12">
        <v>14860</v>
      </c>
      <c r="F9" s="12">
        <v>14860</v>
      </c>
      <c r="G9" s="115">
        <v>13234</v>
      </c>
      <c r="H9" s="12">
        <v>13191</v>
      </c>
      <c r="I9" s="12">
        <f>I10+I13+I15</f>
        <v>14691</v>
      </c>
      <c r="J9" s="12">
        <f>J10+J13+J15</f>
        <v>15095</v>
      </c>
      <c r="K9" s="12">
        <f>I9</f>
        <v>14691</v>
      </c>
      <c r="L9" s="12">
        <f>L10+L13+L15</f>
        <v>14311</v>
      </c>
      <c r="M9" s="12">
        <f t="shared" ref="M9" si="0">M10+M13+M15</f>
        <v>14577</v>
      </c>
      <c r="N9" s="141">
        <f>+M9</f>
        <v>14577</v>
      </c>
      <c r="O9" s="143">
        <f>K9/D9%</f>
        <v>113.49660074165637</v>
      </c>
      <c r="P9" s="143">
        <f>K9/F9%</f>
        <v>98.862718707940786</v>
      </c>
      <c r="Q9" s="143">
        <f>N9/F9%</f>
        <v>98.095558546433381</v>
      </c>
      <c r="R9" s="207" t="s">
        <v>339</v>
      </c>
      <c r="S9" s="144"/>
      <c r="T9" s="144"/>
    </row>
    <row r="10" spans="1:20" s="53" customFormat="1" ht="37.5" customHeight="1" x14ac:dyDescent="0.25">
      <c r="A10" s="66">
        <v>1</v>
      </c>
      <c r="B10" s="67" t="s">
        <v>161</v>
      </c>
      <c r="C10" s="68"/>
      <c r="D10" s="57">
        <v>4077</v>
      </c>
      <c r="E10" s="20">
        <v>4540</v>
      </c>
      <c r="F10" s="20">
        <v>4540</v>
      </c>
      <c r="G10" s="20">
        <v>3981</v>
      </c>
      <c r="H10" s="20">
        <v>3845</v>
      </c>
      <c r="I10" s="20">
        <v>5360</v>
      </c>
      <c r="J10" s="20">
        <v>5360</v>
      </c>
      <c r="K10" s="20">
        <f t="shared" ref="K10:K15" si="1">I10</f>
        <v>5360</v>
      </c>
      <c r="L10" s="20">
        <v>4465</v>
      </c>
      <c r="M10" s="20">
        <v>4540</v>
      </c>
      <c r="N10" s="206">
        <f t="shared" ref="N10:N15" si="2">+M10</f>
        <v>4540</v>
      </c>
      <c r="O10" s="87">
        <f t="shared" ref="O10:O31" si="3">K10/D10%</f>
        <v>131.46921756193279</v>
      </c>
      <c r="P10" s="87">
        <f t="shared" ref="P10:P34" si="4">K10/F10%</f>
        <v>118.06167400881057</v>
      </c>
      <c r="Q10" s="87">
        <f t="shared" ref="Q10:Q34" si="5">N10/F10%</f>
        <v>100</v>
      </c>
      <c r="R10" s="144" t="s">
        <v>339</v>
      </c>
      <c r="S10" s="144" t="s">
        <v>339</v>
      </c>
      <c r="T10" s="14"/>
    </row>
    <row r="11" spans="1:20" s="53" customFormat="1" ht="37.5" customHeight="1" x14ac:dyDescent="0.25">
      <c r="A11" s="66"/>
      <c r="B11" s="69" t="s">
        <v>162</v>
      </c>
      <c r="C11" s="68" t="s">
        <v>163</v>
      </c>
      <c r="D11" s="57">
        <v>3156</v>
      </c>
      <c r="E11" s="20">
        <v>3620</v>
      </c>
      <c r="F11" s="20">
        <v>3620</v>
      </c>
      <c r="G11" s="20">
        <v>3031</v>
      </c>
      <c r="H11" s="20">
        <v>2967</v>
      </c>
      <c r="I11" s="20">
        <v>2919</v>
      </c>
      <c r="J11" s="20">
        <v>2919</v>
      </c>
      <c r="K11" s="20">
        <f t="shared" si="1"/>
        <v>2919</v>
      </c>
      <c r="L11" s="20">
        <v>3560</v>
      </c>
      <c r="M11" s="20">
        <v>3620</v>
      </c>
      <c r="N11" s="206">
        <f t="shared" si="2"/>
        <v>3620</v>
      </c>
      <c r="O11" s="87">
        <f t="shared" si="3"/>
        <v>92.49049429657795</v>
      </c>
      <c r="P11" s="87">
        <f t="shared" si="4"/>
        <v>80.635359116022087</v>
      </c>
      <c r="Q11" s="87">
        <f t="shared" si="5"/>
        <v>99.999999999999986</v>
      </c>
      <c r="R11" s="144"/>
      <c r="S11" s="144" t="s">
        <v>339</v>
      </c>
      <c r="T11" s="14"/>
    </row>
    <row r="12" spans="1:20" s="53" customFormat="1" ht="37.5" customHeight="1" x14ac:dyDescent="0.25">
      <c r="A12" s="66">
        <v>2</v>
      </c>
      <c r="B12" s="70" t="s">
        <v>164</v>
      </c>
      <c r="C12" s="68"/>
      <c r="D12" s="57"/>
      <c r="E12" s="20"/>
      <c r="F12" s="20"/>
      <c r="G12" s="58"/>
      <c r="H12" s="65"/>
      <c r="I12" s="22"/>
      <c r="J12" s="22"/>
      <c r="K12" s="20"/>
      <c r="L12" s="100"/>
      <c r="M12" s="100"/>
      <c r="N12" s="206"/>
      <c r="O12" s="87"/>
      <c r="P12" s="87"/>
      <c r="Q12" s="87"/>
      <c r="R12" s="144"/>
      <c r="S12" s="144"/>
      <c r="T12" s="14"/>
    </row>
    <row r="13" spans="1:20" s="53" customFormat="1" ht="37.5" customHeight="1" x14ac:dyDescent="0.25">
      <c r="A13" s="66"/>
      <c r="B13" s="71" t="s">
        <v>165</v>
      </c>
      <c r="C13" s="68" t="s">
        <v>163</v>
      </c>
      <c r="D13" s="57">
        <v>5456</v>
      </c>
      <c r="E13" s="20">
        <v>5903</v>
      </c>
      <c r="F13" s="20">
        <v>5903</v>
      </c>
      <c r="G13" s="58">
        <v>5679</v>
      </c>
      <c r="H13" s="72">
        <v>5649</v>
      </c>
      <c r="I13" s="140">
        <v>5638</v>
      </c>
      <c r="J13" s="140">
        <v>5638</v>
      </c>
      <c r="K13" s="20">
        <f t="shared" si="1"/>
        <v>5638</v>
      </c>
      <c r="L13" s="279">
        <v>5502</v>
      </c>
      <c r="M13" s="279">
        <v>5496</v>
      </c>
      <c r="N13" s="206">
        <f t="shared" si="2"/>
        <v>5496</v>
      </c>
      <c r="O13" s="87">
        <f t="shared" si="3"/>
        <v>103.3357771260997</v>
      </c>
      <c r="P13" s="87">
        <f t="shared" si="4"/>
        <v>95.510757242080302</v>
      </c>
      <c r="Q13" s="87">
        <f t="shared" si="5"/>
        <v>93.105200745383698</v>
      </c>
      <c r="R13" s="144"/>
      <c r="S13" s="144"/>
      <c r="T13" s="14"/>
    </row>
    <row r="14" spans="1:20" s="53" customFormat="1" ht="37.5" customHeight="1" x14ac:dyDescent="0.25">
      <c r="A14" s="66">
        <v>3</v>
      </c>
      <c r="B14" s="67" t="s">
        <v>166</v>
      </c>
      <c r="C14" s="68"/>
      <c r="D14" s="57"/>
      <c r="E14" s="20"/>
      <c r="F14" s="20"/>
      <c r="G14" s="58"/>
      <c r="H14" s="72"/>
      <c r="I14" s="22"/>
      <c r="J14" s="22"/>
      <c r="K14" s="20"/>
      <c r="L14" s="100"/>
      <c r="M14" s="100"/>
      <c r="N14" s="206"/>
      <c r="O14" s="87"/>
      <c r="P14" s="87"/>
      <c r="Q14" s="87"/>
      <c r="R14" s="144"/>
      <c r="S14" s="144"/>
      <c r="T14" s="14"/>
    </row>
    <row r="15" spans="1:20" s="53" customFormat="1" ht="37.5" customHeight="1" x14ac:dyDescent="0.25">
      <c r="A15" s="66"/>
      <c r="B15" s="71" t="s">
        <v>167</v>
      </c>
      <c r="C15" s="68" t="s">
        <v>163</v>
      </c>
      <c r="D15" s="57">
        <v>3411</v>
      </c>
      <c r="E15" s="20">
        <v>4417</v>
      </c>
      <c r="F15" s="20">
        <v>4417</v>
      </c>
      <c r="G15" s="20">
        <v>3574</v>
      </c>
      <c r="H15" s="20">
        <v>3697</v>
      </c>
      <c r="I15" s="20">
        <v>3693</v>
      </c>
      <c r="J15" s="20">
        <v>4097</v>
      </c>
      <c r="K15" s="20">
        <f t="shared" si="1"/>
        <v>3693</v>
      </c>
      <c r="L15" s="20">
        <v>4344</v>
      </c>
      <c r="M15" s="20">
        <v>4541</v>
      </c>
      <c r="N15" s="206">
        <f t="shared" si="2"/>
        <v>4541</v>
      </c>
      <c r="O15" s="87">
        <f t="shared" si="3"/>
        <v>108.26737027264731</v>
      </c>
      <c r="P15" s="87">
        <f t="shared" si="4"/>
        <v>83.608784242698661</v>
      </c>
      <c r="Q15" s="87">
        <f t="shared" si="5"/>
        <v>102.80733529544939</v>
      </c>
      <c r="R15" s="144"/>
      <c r="S15" s="144" t="s">
        <v>339</v>
      </c>
      <c r="T15" s="14"/>
    </row>
    <row r="16" spans="1:20" s="53" customFormat="1" ht="37.5" customHeight="1" x14ac:dyDescent="0.25">
      <c r="A16" s="66">
        <v>4</v>
      </c>
      <c r="B16" s="70" t="s">
        <v>168</v>
      </c>
      <c r="C16" s="68"/>
      <c r="D16" s="57"/>
      <c r="E16" s="20"/>
      <c r="F16" s="20"/>
      <c r="G16" s="58"/>
      <c r="H16" s="65"/>
      <c r="I16" s="14"/>
      <c r="J16" s="14"/>
      <c r="K16" s="14"/>
      <c r="L16" s="13"/>
      <c r="M16" s="13"/>
      <c r="N16" s="13"/>
      <c r="O16" s="87"/>
      <c r="P16" s="87"/>
      <c r="Q16" s="87"/>
      <c r="R16" s="144"/>
      <c r="S16" s="144"/>
      <c r="T16" s="14"/>
    </row>
    <row r="17" spans="1:20" s="53" customFormat="1" ht="52.5" customHeight="1" x14ac:dyDescent="0.25">
      <c r="A17" s="66"/>
      <c r="B17" s="71" t="s">
        <v>169</v>
      </c>
      <c r="C17" s="68" t="s">
        <v>163</v>
      </c>
      <c r="D17" s="57"/>
      <c r="E17" s="20"/>
      <c r="F17" s="20"/>
      <c r="G17" s="58"/>
      <c r="H17" s="65"/>
      <c r="I17" s="14"/>
      <c r="J17" s="14"/>
      <c r="K17" s="14"/>
      <c r="L17" s="13"/>
      <c r="M17" s="13"/>
      <c r="N17" s="13"/>
      <c r="O17" s="87"/>
      <c r="P17" s="87"/>
      <c r="Q17" s="87"/>
      <c r="R17" s="144"/>
      <c r="S17" s="144"/>
      <c r="T17" s="14"/>
    </row>
    <row r="18" spans="1:20" s="53" customFormat="1" ht="43.5" customHeight="1" x14ac:dyDescent="0.25">
      <c r="A18" s="62" t="s">
        <v>50</v>
      </c>
      <c r="B18" s="73" t="s">
        <v>170</v>
      </c>
      <c r="C18" s="74" t="s">
        <v>171</v>
      </c>
      <c r="D18" s="114">
        <v>29</v>
      </c>
      <c r="E18" s="12">
        <v>30</v>
      </c>
      <c r="F18" s="12">
        <v>30</v>
      </c>
      <c r="G18" s="115">
        <v>30</v>
      </c>
      <c r="H18" s="115">
        <v>30</v>
      </c>
      <c r="I18" s="9">
        <f>+I20+I21+I22+I23</f>
        <v>30</v>
      </c>
      <c r="J18" s="9">
        <f t="shared" ref="J18:L18" si="6">+J20+J21+J22+J23</f>
        <v>30</v>
      </c>
      <c r="K18" s="9">
        <f>J18</f>
        <v>30</v>
      </c>
      <c r="L18" s="96">
        <f t="shared" si="6"/>
        <v>28</v>
      </c>
      <c r="M18" s="96">
        <f>+M20+M21+M22+M23</f>
        <v>28</v>
      </c>
      <c r="N18" s="96">
        <v>28</v>
      </c>
      <c r="O18" s="143">
        <f t="shared" si="3"/>
        <v>103.44827586206897</v>
      </c>
      <c r="P18" s="143">
        <f t="shared" si="4"/>
        <v>100</v>
      </c>
      <c r="Q18" s="143">
        <f t="shared" si="5"/>
        <v>93.333333333333343</v>
      </c>
      <c r="R18" s="207" t="s">
        <v>339</v>
      </c>
      <c r="S18" s="207"/>
      <c r="T18" s="6"/>
    </row>
    <row r="19" spans="1:20" s="53" customFormat="1" ht="57" customHeight="1" x14ac:dyDescent="0.25">
      <c r="A19" s="66"/>
      <c r="B19" s="75" t="s">
        <v>322</v>
      </c>
      <c r="C19" s="76" t="s">
        <v>171</v>
      </c>
      <c r="D19" s="57"/>
      <c r="E19" s="20"/>
      <c r="F19" s="20"/>
      <c r="G19" s="58"/>
      <c r="H19" s="58"/>
      <c r="I19" s="14"/>
      <c r="J19" s="14"/>
      <c r="K19" s="14"/>
      <c r="L19" s="100"/>
      <c r="M19" s="100"/>
      <c r="N19" s="100"/>
      <c r="O19" s="87"/>
      <c r="P19" s="87"/>
      <c r="Q19" s="87"/>
      <c r="R19" s="144"/>
      <c r="S19" s="144"/>
      <c r="T19" s="14"/>
    </row>
    <row r="20" spans="1:20" ht="43.5" customHeight="1" x14ac:dyDescent="0.3">
      <c r="A20" s="66"/>
      <c r="B20" s="77" t="s">
        <v>172</v>
      </c>
      <c r="C20" s="76" t="s">
        <v>171</v>
      </c>
      <c r="D20" s="28">
        <v>13</v>
      </c>
      <c r="E20" s="20">
        <v>13</v>
      </c>
      <c r="F20" s="20">
        <v>13</v>
      </c>
      <c r="G20" s="58">
        <v>13</v>
      </c>
      <c r="H20" s="58">
        <v>13</v>
      </c>
      <c r="I20" s="99">
        <v>13</v>
      </c>
      <c r="J20" s="99">
        <v>13</v>
      </c>
      <c r="K20" s="99">
        <v>13</v>
      </c>
      <c r="L20" s="99">
        <v>12</v>
      </c>
      <c r="M20" s="99">
        <v>12</v>
      </c>
      <c r="N20" s="99">
        <f>M20</f>
        <v>12</v>
      </c>
      <c r="O20" s="87">
        <f t="shared" si="3"/>
        <v>100</v>
      </c>
      <c r="P20" s="87">
        <f t="shared" si="4"/>
        <v>100</v>
      </c>
      <c r="Q20" s="87">
        <f t="shared" si="5"/>
        <v>92.307692307692307</v>
      </c>
      <c r="R20" s="144" t="s">
        <v>339</v>
      </c>
      <c r="S20" s="144"/>
      <c r="T20" s="153"/>
    </row>
    <row r="21" spans="1:20" ht="43.5" customHeight="1" x14ac:dyDescent="0.3">
      <c r="A21" s="66"/>
      <c r="B21" s="77" t="s">
        <v>173</v>
      </c>
      <c r="C21" s="76" t="s">
        <v>171</v>
      </c>
      <c r="D21" s="28">
        <v>9</v>
      </c>
      <c r="E21" s="20">
        <v>9</v>
      </c>
      <c r="F21" s="20">
        <v>9</v>
      </c>
      <c r="G21" s="58">
        <v>9</v>
      </c>
      <c r="H21" s="58">
        <v>9</v>
      </c>
      <c r="I21" s="99">
        <v>9</v>
      </c>
      <c r="J21" s="99">
        <v>9</v>
      </c>
      <c r="K21" s="99">
        <v>9</v>
      </c>
      <c r="L21" s="99">
        <v>8</v>
      </c>
      <c r="M21" s="99">
        <v>8</v>
      </c>
      <c r="N21" s="99">
        <f t="shared" ref="N21:N23" si="7">M21</f>
        <v>8</v>
      </c>
      <c r="O21" s="87">
        <f t="shared" si="3"/>
        <v>100</v>
      </c>
      <c r="P21" s="87">
        <f t="shared" si="4"/>
        <v>100</v>
      </c>
      <c r="Q21" s="87">
        <f t="shared" si="5"/>
        <v>88.888888888888886</v>
      </c>
      <c r="R21" s="144" t="s">
        <v>339</v>
      </c>
      <c r="S21" s="144"/>
      <c r="T21" s="7"/>
    </row>
    <row r="22" spans="1:20" ht="43.5" customHeight="1" x14ac:dyDescent="0.3">
      <c r="A22" s="66"/>
      <c r="B22" s="78" t="s">
        <v>303</v>
      </c>
      <c r="C22" s="76" t="s">
        <v>171</v>
      </c>
      <c r="D22" s="28">
        <v>1</v>
      </c>
      <c r="E22" s="20"/>
      <c r="F22" s="20"/>
      <c r="G22" s="58">
        <v>1</v>
      </c>
      <c r="H22" s="58">
        <v>1</v>
      </c>
      <c r="I22" s="99">
        <v>1</v>
      </c>
      <c r="J22" s="99">
        <v>2</v>
      </c>
      <c r="K22" s="99">
        <v>2</v>
      </c>
      <c r="L22" s="99">
        <v>2</v>
      </c>
      <c r="M22" s="99">
        <v>2</v>
      </c>
      <c r="N22" s="99">
        <f t="shared" si="7"/>
        <v>2</v>
      </c>
      <c r="O22" s="87">
        <f t="shared" si="3"/>
        <v>200</v>
      </c>
      <c r="P22" s="87"/>
      <c r="Q22" s="87"/>
      <c r="R22" s="144"/>
      <c r="S22" s="144"/>
      <c r="T22" s="7"/>
    </row>
    <row r="23" spans="1:20" ht="43.5" customHeight="1" x14ac:dyDescent="0.3">
      <c r="A23" s="66"/>
      <c r="B23" s="77" t="s">
        <v>174</v>
      </c>
      <c r="C23" s="76" t="s">
        <v>171</v>
      </c>
      <c r="D23" s="28">
        <v>6</v>
      </c>
      <c r="E23" s="20">
        <v>8</v>
      </c>
      <c r="F23" s="20">
        <v>8</v>
      </c>
      <c r="G23" s="58">
        <v>7</v>
      </c>
      <c r="H23" s="58">
        <v>7</v>
      </c>
      <c r="I23" s="99">
        <v>7</v>
      </c>
      <c r="J23" s="99">
        <v>6</v>
      </c>
      <c r="K23" s="99">
        <v>6</v>
      </c>
      <c r="L23" s="99">
        <v>6</v>
      </c>
      <c r="M23" s="99">
        <v>6</v>
      </c>
      <c r="N23" s="99">
        <f t="shared" si="7"/>
        <v>6</v>
      </c>
      <c r="O23" s="87">
        <f t="shared" si="3"/>
        <v>100</v>
      </c>
      <c r="P23" s="87">
        <f t="shared" si="4"/>
        <v>75</v>
      </c>
      <c r="Q23" s="87">
        <f t="shared" si="5"/>
        <v>75</v>
      </c>
      <c r="R23" s="144"/>
      <c r="S23" s="144"/>
      <c r="T23" s="153"/>
    </row>
    <row r="24" spans="1:20" ht="55.5" customHeight="1" x14ac:dyDescent="0.3">
      <c r="A24" s="62" t="s">
        <v>88</v>
      </c>
      <c r="B24" s="63" t="s">
        <v>175</v>
      </c>
      <c r="C24" s="64"/>
      <c r="D24" s="79"/>
      <c r="E24" s="20"/>
      <c r="F24" s="20"/>
      <c r="G24" s="58"/>
      <c r="H24" s="65"/>
      <c r="I24" s="7"/>
      <c r="J24" s="7"/>
      <c r="K24" s="7"/>
      <c r="L24" s="13"/>
      <c r="M24" s="13"/>
      <c r="N24" s="13"/>
      <c r="O24" s="87"/>
      <c r="P24" s="87"/>
      <c r="Q24" s="87"/>
      <c r="R24" s="144"/>
      <c r="S24" s="144"/>
      <c r="T24" s="7"/>
    </row>
    <row r="25" spans="1:20" ht="52.5" customHeight="1" x14ac:dyDescent="0.3">
      <c r="A25" s="66">
        <v>1</v>
      </c>
      <c r="B25" s="77" t="s">
        <v>176</v>
      </c>
      <c r="C25" s="56" t="s">
        <v>177</v>
      </c>
      <c r="D25" s="28">
        <v>23</v>
      </c>
      <c r="E25" s="20">
        <v>29</v>
      </c>
      <c r="F25" s="20">
        <v>29</v>
      </c>
      <c r="G25" s="58">
        <v>23</v>
      </c>
      <c r="H25" s="65">
        <v>24</v>
      </c>
      <c r="I25" s="99">
        <v>25</v>
      </c>
      <c r="J25" s="99">
        <v>25</v>
      </c>
      <c r="K25" s="142">
        <f>J25</f>
        <v>25</v>
      </c>
      <c r="L25" s="99">
        <v>27</v>
      </c>
      <c r="M25" s="99">
        <v>27</v>
      </c>
      <c r="N25" s="99">
        <f>M25</f>
        <v>27</v>
      </c>
      <c r="O25" s="87">
        <f t="shared" si="3"/>
        <v>108.69565217391303</v>
      </c>
      <c r="P25" s="87">
        <f t="shared" si="4"/>
        <v>86.206896551724142</v>
      </c>
      <c r="Q25" s="87">
        <f t="shared" si="5"/>
        <v>93.103448275862078</v>
      </c>
      <c r="R25" s="144"/>
      <c r="S25" s="144"/>
      <c r="T25" s="7"/>
    </row>
    <row r="26" spans="1:20" ht="52.5" customHeight="1" x14ac:dyDescent="0.3">
      <c r="A26" s="66"/>
      <c r="B26" s="77" t="s">
        <v>178</v>
      </c>
      <c r="C26" s="56" t="s">
        <v>33</v>
      </c>
      <c r="D26" s="28">
        <v>79.3</v>
      </c>
      <c r="E26" s="80">
        <v>96.666666666666671</v>
      </c>
      <c r="F26" s="20">
        <v>97</v>
      </c>
      <c r="G26" s="81">
        <v>76.7</v>
      </c>
      <c r="H26" s="20">
        <v>80</v>
      </c>
      <c r="I26" s="102">
        <f>25/30*100</f>
        <v>83.333333333333343</v>
      </c>
      <c r="J26" s="102">
        <f>25/30*100</f>
        <v>83.333333333333343</v>
      </c>
      <c r="K26" s="102">
        <f t="shared" ref="K26:K31" si="8">J26</f>
        <v>83.333333333333343</v>
      </c>
      <c r="L26" s="102">
        <f>27/28*100</f>
        <v>96.428571428571431</v>
      </c>
      <c r="M26" s="102">
        <f>27/28*100</f>
        <v>96.428571428571431</v>
      </c>
      <c r="N26" s="102">
        <f t="shared" ref="N26:N31" si="9">M26</f>
        <v>96.428571428571431</v>
      </c>
      <c r="O26" s="87">
        <f t="shared" si="3"/>
        <v>105.08617065994117</v>
      </c>
      <c r="P26" s="87">
        <f t="shared" si="4"/>
        <v>85.910652920962207</v>
      </c>
      <c r="Q26" s="87">
        <f t="shared" si="5"/>
        <v>99.410898379970547</v>
      </c>
      <c r="R26" s="144"/>
      <c r="S26" s="144"/>
      <c r="T26" s="7"/>
    </row>
    <row r="27" spans="1:20" ht="47.25" customHeight="1" x14ac:dyDescent="0.3">
      <c r="A27" s="66"/>
      <c r="B27" s="77" t="s">
        <v>179</v>
      </c>
      <c r="C27" s="56" t="s">
        <v>33</v>
      </c>
      <c r="D27" s="39">
        <v>84.6</v>
      </c>
      <c r="E27" s="20">
        <v>100</v>
      </c>
      <c r="F27" s="20">
        <v>100</v>
      </c>
      <c r="G27" s="81">
        <v>84.6</v>
      </c>
      <c r="H27" s="82">
        <v>92.307692307692307</v>
      </c>
      <c r="I27" s="102">
        <v>92.307692307692307</v>
      </c>
      <c r="J27" s="102">
        <v>92.307692307692307</v>
      </c>
      <c r="K27" s="102">
        <f t="shared" si="8"/>
        <v>92.307692307692307</v>
      </c>
      <c r="L27" s="99">
        <v>100</v>
      </c>
      <c r="M27" s="99">
        <v>100</v>
      </c>
      <c r="N27" s="99">
        <f t="shared" si="9"/>
        <v>100</v>
      </c>
      <c r="O27" s="87">
        <f t="shared" si="3"/>
        <v>109.11074740861974</v>
      </c>
      <c r="P27" s="87">
        <f t="shared" si="4"/>
        <v>92.307692307692307</v>
      </c>
      <c r="Q27" s="87">
        <f t="shared" si="5"/>
        <v>100</v>
      </c>
      <c r="R27" s="144"/>
      <c r="S27" s="144" t="s">
        <v>339</v>
      </c>
      <c r="T27" s="7"/>
    </row>
    <row r="28" spans="1:20" ht="47.25" customHeight="1" x14ac:dyDescent="0.3">
      <c r="A28" s="66"/>
      <c r="B28" s="77" t="s">
        <v>180</v>
      </c>
      <c r="C28" s="56" t="s">
        <v>33</v>
      </c>
      <c r="D28" s="39">
        <v>88.9</v>
      </c>
      <c r="E28" s="20">
        <v>100</v>
      </c>
      <c r="F28" s="20">
        <v>100</v>
      </c>
      <c r="G28" s="81">
        <v>88.9</v>
      </c>
      <c r="H28" s="82">
        <v>88.888888888888886</v>
      </c>
      <c r="I28" s="102">
        <f>8/9*100</f>
        <v>88.888888888888886</v>
      </c>
      <c r="J28" s="102">
        <f>8/9*100</f>
        <v>88.888888888888886</v>
      </c>
      <c r="K28" s="102">
        <f t="shared" si="8"/>
        <v>88.888888888888886</v>
      </c>
      <c r="L28" s="142">
        <f>8/8*100</f>
        <v>100</v>
      </c>
      <c r="M28" s="142">
        <f>8/8*100</f>
        <v>100</v>
      </c>
      <c r="N28" s="99">
        <f t="shared" si="9"/>
        <v>100</v>
      </c>
      <c r="O28" s="87">
        <f t="shared" si="3"/>
        <v>99.987501562304701</v>
      </c>
      <c r="P28" s="87">
        <f t="shared" si="4"/>
        <v>88.888888888888886</v>
      </c>
      <c r="Q28" s="87">
        <f t="shared" si="5"/>
        <v>100</v>
      </c>
      <c r="R28" s="144"/>
      <c r="S28" s="144" t="s">
        <v>339</v>
      </c>
      <c r="T28" s="7"/>
    </row>
    <row r="29" spans="1:20" ht="47.25" customHeight="1" x14ac:dyDescent="0.3">
      <c r="A29" s="66"/>
      <c r="B29" s="77" t="s">
        <v>181</v>
      </c>
      <c r="C29" s="56" t="s">
        <v>33</v>
      </c>
      <c r="D29" s="28">
        <v>50</v>
      </c>
      <c r="E29" s="80">
        <v>87.5</v>
      </c>
      <c r="F29" s="80">
        <v>87.5</v>
      </c>
      <c r="G29" s="58">
        <v>50</v>
      </c>
      <c r="H29" s="20">
        <v>50</v>
      </c>
      <c r="I29" s="99">
        <v>50</v>
      </c>
      <c r="J29" s="102">
        <f>5/8*100</f>
        <v>62.5</v>
      </c>
      <c r="K29" s="102">
        <f t="shared" si="8"/>
        <v>62.5</v>
      </c>
      <c r="L29" s="99">
        <f>7/8%</f>
        <v>87.5</v>
      </c>
      <c r="M29" s="99">
        <f>7/8%</f>
        <v>87.5</v>
      </c>
      <c r="N29" s="99">
        <f t="shared" si="9"/>
        <v>87.5</v>
      </c>
      <c r="O29" s="87">
        <f t="shared" si="3"/>
        <v>125</v>
      </c>
      <c r="P29" s="87">
        <f t="shared" si="4"/>
        <v>71.428571428571431</v>
      </c>
      <c r="Q29" s="87">
        <f t="shared" si="5"/>
        <v>100</v>
      </c>
      <c r="R29" s="144"/>
      <c r="S29" s="144" t="s">
        <v>339</v>
      </c>
      <c r="T29" s="7"/>
    </row>
    <row r="30" spans="1:20" ht="55.5" customHeight="1" x14ac:dyDescent="0.3">
      <c r="A30" s="66">
        <v>2</v>
      </c>
      <c r="B30" s="77" t="s">
        <v>182</v>
      </c>
      <c r="C30" s="56" t="s">
        <v>177</v>
      </c>
      <c r="D30" s="28">
        <v>11</v>
      </c>
      <c r="E30" s="20">
        <v>16</v>
      </c>
      <c r="F30" s="20">
        <v>16</v>
      </c>
      <c r="G30" s="58">
        <v>12</v>
      </c>
      <c r="H30" s="20">
        <v>16</v>
      </c>
      <c r="I30" s="99">
        <v>16</v>
      </c>
      <c r="J30" s="99">
        <v>16</v>
      </c>
      <c r="K30" s="142">
        <f>J30</f>
        <v>16</v>
      </c>
      <c r="L30" s="99">
        <v>19</v>
      </c>
      <c r="M30" s="99">
        <v>19</v>
      </c>
      <c r="N30" s="99">
        <f t="shared" si="9"/>
        <v>19</v>
      </c>
      <c r="O30" s="87">
        <f t="shared" si="3"/>
        <v>145.45454545454547</v>
      </c>
      <c r="P30" s="87">
        <f t="shared" si="4"/>
        <v>100</v>
      </c>
      <c r="Q30" s="87">
        <f t="shared" si="5"/>
        <v>118.75</v>
      </c>
      <c r="R30" s="144" t="s">
        <v>339</v>
      </c>
      <c r="S30" s="144" t="s">
        <v>339</v>
      </c>
      <c r="T30" s="7"/>
    </row>
    <row r="31" spans="1:20" ht="54.75" customHeight="1" x14ac:dyDescent="0.3">
      <c r="A31" s="66"/>
      <c r="B31" s="77" t="s">
        <v>183</v>
      </c>
      <c r="C31" s="56" t="s">
        <v>33</v>
      </c>
      <c r="D31" s="28">
        <v>38</v>
      </c>
      <c r="E31" s="20">
        <v>53.333333333333336</v>
      </c>
      <c r="F31" s="20">
        <v>53</v>
      </c>
      <c r="G31" s="58">
        <v>40</v>
      </c>
      <c r="H31" s="82">
        <v>53.3</v>
      </c>
      <c r="I31" s="102">
        <f>16/30*100</f>
        <v>53.333333333333336</v>
      </c>
      <c r="J31" s="102">
        <f>16/30*100</f>
        <v>53.333333333333336</v>
      </c>
      <c r="K31" s="102">
        <f t="shared" si="8"/>
        <v>53.333333333333336</v>
      </c>
      <c r="L31" s="102">
        <f>19/28*100</f>
        <v>67.857142857142861</v>
      </c>
      <c r="M31" s="102">
        <f>19/28*100</f>
        <v>67.857142857142861</v>
      </c>
      <c r="N31" s="102">
        <f t="shared" si="9"/>
        <v>67.857142857142861</v>
      </c>
      <c r="O31" s="87">
        <f t="shared" si="3"/>
        <v>140.35087719298247</v>
      </c>
      <c r="P31" s="87">
        <f t="shared" si="4"/>
        <v>100.62893081761007</v>
      </c>
      <c r="Q31" s="87">
        <f t="shared" si="5"/>
        <v>128.03234501347708</v>
      </c>
      <c r="R31" s="144" t="s">
        <v>339</v>
      </c>
      <c r="S31" s="144" t="s">
        <v>339</v>
      </c>
      <c r="T31" s="7"/>
    </row>
    <row r="32" spans="1:20" ht="48.75" customHeight="1" x14ac:dyDescent="0.3">
      <c r="A32" s="66">
        <v>3</v>
      </c>
      <c r="B32" s="77" t="s">
        <v>184</v>
      </c>
      <c r="C32" s="56" t="s">
        <v>177</v>
      </c>
      <c r="D32" s="28"/>
      <c r="E32" s="20">
        <v>2</v>
      </c>
      <c r="F32" s="20">
        <v>2</v>
      </c>
      <c r="G32" s="58"/>
      <c r="H32" s="65"/>
      <c r="I32" s="7"/>
      <c r="J32" s="7"/>
      <c r="K32" s="7"/>
      <c r="L32" s="13"/>
      <c r="M32" s="13"/>
      <c r="N32" s="13"/>
      <c r="O32" s="143"/>
      <c r="P32" s="143"/>
      <c r="Q32" s="143"/>
      <c r="R32" s="144"/>
      <c r="S32" s="144"/>
      <c r="T32" s="7"/>
    </row>
    <row r="33" spans="1:20" ht="48.75" customHeight="1" x14ac:dyDescent="0.3">
      <c r="A33" s="66"/>
      <c r="B33" s="77" t="s">
        <v>185</v>
      </c>
      <c r="C33" s="56" t="s">
        <v>177</v>
      </c>
      <c r="D33" s="28"/>
      <c r="E33" s="20">
        <v>1</v>
      </c>
      <c r="F33" s="20">
        <v>2</v>
      </c>
      <c r="G33" s="58"/>
      <c r="H33" s="65"/>
      <c r="I33" s="7"/>
      <c r="J33" s="7"/>
      <c r="K33" s="7"/>
      <c r="L33" s="13"/>
      <c r="M33" s="13"/>
      <c r="N33" s="13"/>
      <c r="O33" s="143"/>
      <c r="P33" s="143"/>
      <c r="Q33" s="143"/>
      <c r="R33" s="144"/>
      <c r="S33" s="144"/>
      <c r="T33" s="7"/>
    </row>
    <row r="34" spans="1:20" ht="48.75" customHeight="1" x14ac:dyDescent="0.3">
      <c r="A34" s="66"/>
      <c r="B34" s="77" t="s">
        <v>325</v>
      </c>
      <c r="C34" s="56"/>
      <c r="D34" s="28"/>
      <c r="E34" s="20">
        <v>50</v>
      </c>
      <c r="F34" s="20">
        <v>50</v>
      </c>
      <c r="G34" s="58"/>
      <c r="H34" s="65"/>
      <c r="I34" s="13">
        <v>5</v>
      </c>
      <c r="J34" s="13">
        <v>16</v>
      </c>
      <c r="K34" s="13">
        <v>16</v>
      </c>
      <c r="L34" s="13">
        <v>50</v>
      </c>
      <c r="M34" s="13">
        <v>50</v>
      </c>
      <c r="N34" s="13">
        <f>M34</f>
        <v>50</v>
      </c>
      <c r="O34" s="143"/>
      <c r="P34" s="87">
        <f t="shared" si="4"/>
        <v>32</v>
      </c>
      <c r="Q34" s="87">
        <f t="shared" si="5"/>
        <v>100</v>
      </c>
      <c r="R34" s="144"/>
      <c r="S34" s="144" t="s">
        <v>339</v>
      </c>
      <c r="T34" s="7"/>
    </row>
    <row r="35" spans="1:20" ht="40.5" customHeight="1" x14ac:dyDescent="0.3">
      <c r="A35" s="62" t="s">
        <v>17</v>
      </c>
      <c r="B35" s="63" t="s">
        <v>186</v>
      </c>
      <c r="C35" s="64"/>
      <c r="D35" s="28"/>
      <c r="E35" s="20"/>
      <c r="F35" s="20"/>
      <c r="G35" s="58"/>
      <c r="H35" s="65"/>
      <c r="I35" s="7"/>
      <c r="J35" s="7"/>
      <c r="K35" s="7"/>
      <c r="L35" s="13"/>
      <c r="M35" s="13"/>
      <c r="N35" s="13"/>
      <c r="O35" s="87"/>
      <c r="P35" s="87"/>
      <c r="Q35" s="87"/>
      <c r="R35" s="144"/>
      <c r="S35" s="144"/>
      <c r="T35" s="7"/>
    </row>
    <row r="36" spans="1:20" ht="40.5" customHeight="1" x14ac:dyDescent="0.3">
      <c r="A36" s="66">
        <v>1</v>
      </c>
      <c r="B36" s="70" t="s">
        <v>187</v>
      </c>
      <c r="C36" s="68" t="s">
        <v>188</v>
      </c>
      <c r="D36" s="79"/>
      <c r="E36" s="20"/>
      <c r="F36" s="20"/>
      <c r="G36" s="58"/>
      <c r="H36" s="65"/>
      <c r="I36" s="7"/>
      <c r="J36" s="7"/>
      <c r="K36" s="7"/>
      <c r="L36" s="13"/>
      <c r="M36" s="13"/>
      <c r="N36" s="13"/>
      <c r="O36" s="87"/>
      <c r="P36" s="87"/>
      <c r="Q36" s="87"/>
      <c r="R36" s="144"/>
      <c r="S36" s="144"/>
      <c r="T36" s="7"/>
    </row>
    <row r="37" spans="1:20" ht="49.5" customHeight="1" x14ac:dyDescent="0.3">
      <c r="A37" s="62"/>
      <c r="B37" s="70" t="s">
        <v>189</v>
      </c>
      <c r="C37" s="68" t="s">
        <v>188</v>
      </c>
      <c r="D37" s="79"/>
      <c r="E37" s="20"/>
      <c r="F37" s="20"/>
      <c r="G37" s="58"/>
      <c r="H37" s="65"/>
      <c r="I37" s="7"/>
      <c r="J37" s="7"/>
      <c r="K37" s="7"/>
      <c r="L37" s="13"/>
      <c r="M37" s="13"/>
      <c r="N37" s="13"/>
      <c r="O37" s="87"/>
      <c r="P37" s="87"/>
      <c r="Q37" s="87"/>
      <c r="R37" s="144"/>
      <c r="S37" s="144"/>
      <c r="T37" s="7"/>
    </row>
    <row r="38" spans="1:20" ht="49.5" customHeight="1" x14ac:dyDescent="0.3">
      <c r="A38" s="62"/>
      <c r="B38" s="83" t="s">
        <v>190</v>
      </c>
      <c r="C38" s="68" t="s">
        <v>33</v>
      </c>
      <c r="D38" s="79"/>
      <c r="E38" s="20"/>
      <c r="F38" s="20"/>
      <c r="G38" s="58"/>
      <c r="H38" s="65"/>
      <c r="I38" s="7"/>
      <c r="J38" s="7"/>
      <c r="K38" s="7"/>
      <c r="L38" s="13"/>
      <c r="M38" s="13"/>
      <c r="N38" s="13"/>
      <c r="O38" s="87"/>
      <c r="P38" s="87"/>
      <c r="Q38" s="87"/>
      <c r="R38" s="144"/>
      <c r="S38" s="144"/>
      <c r="T38" s="7"/>
    </row>
    <row r="39" spans="1:20" ht="49.5" customHeight="1" x14ac:dyDescent="0.3">
      <c r="A39" s="66">
        <v>2</v>
      </c>
      <c r="B39" s="70" t="s">
        <v>191</v>
      </c>
      <c r="C39" s="68" t="s">
        <v>188</v>
      </c>
      <c r="D39" s="79"/>
      <c r="E39" s="20"/>
      <c r="F39" s="20"/>
      <c r="G39" s="58"/>
      <c r="H39" s="65"/>
      <c r="I39" s="7"/>
      <c r="J39" s="7"/>
      <c r="K39" s="7"/>
      <c r="L39" s="13"/>
      <c r="M39" s="13"/>
      <c r="N39" s="13"/>
      <c r="O39" s="87"/>
      <c r="P39" s="87"/>
      <c r="Q39" s="87"/>
      <c r="R39" s="144"/>
      <c r="S39" s="144"/>
      <c r="T39" s="7"/>
    </row>
    <row r="40" spans="1:20" ht="49.5" customHeight="1" x14ac:dyDescent="0.3">
      <c r="A40" s="66"/>
      <c r="B40" s="70" t="s">
        <v>192</v>
      </c>
      <c r="C40" s="68" t="s">
        <v>188</v>
      </c>
      <c r="D40" s="79"/>
      <c r="E40" s="20"/>
      <c r="F40" s="20"/>
      <c r="G40" s="58"/>
      <c r="H40" s="65"/>
      <c r="I40" s="7"/>
      <c r="J40" s="7"/>
      <c r="K40" s="7"/>
      <c r="L40" s="13"/>
      <c r="M40" s="13"/>
      <c r="N40" s="13"/>
      <c r="O40" s="87"/>
      <c r="P40" s="87"/>
      <c r="Q40" s="87"/>
      <c r="R40" s="144"/>
      <c r="S40" s="144"/>
      <c r="T40" s="7"/>
    </row>
    <row r="41" spans="1:20" ht="49.5" customHeight="1" x14ac:dyDescent="0.3">
      <c r="A41" s="84"/>
      <c r="B41" s="83" t="s">
        <v>193</v>
      </c>
      <c r="C41" s="85" t="s">
        <v>129</v>
      </c>
      <c r="D41" s="79"/>
      <c r="E41" s="20"/>
      <c r="F41" s="20"/>
      <c r="G41" s="58"/>
      <c r="H41" s="65"/>
      <c r="I41" s="7"/>
      <c r="J41" s="7"/>
      <c r="K41" s="7"/>
      <c r="L41" s="13"/>
      <c r="M41" s="13"/>
      <c r="N41" s="13"/>
      <c r="O41" s="87"/>
      <c r="P41" s="87"/>
      <c r="Q41" s="87"/>
      <c r="R41" s="144"/>
      <c r="S41" s="144"/>
      <c r="T41" s="7"/>
    </row>
    <row r="42" spans="1:20" ht="49.5" customHeight="1" x14ac:dyDescent="0.3">
      <c r="A42" s="66"/>
      <c r="B42" s="71" t="s">
        <v>194</v>
      </c>
      <c r="C42" s="68" t="s">
        <v>188</v>
      </c>
      <c r="D42" s="79"/>
      <c r="E42" s="20"/>
      <c r="F42" s="20"/>
      <c r="G42" s="58"/>
      <c r="H42" s="65"/>
      <c r="I42" s="7"/>
      <c r="J42" s="7"/>
      <c r="K42" s="7"/>
      <c r="L42" s="13"/>
      <c r="M42" s="13"/>
      <c r="N42" s="13"/>
      <c r="O42" s="87"/>
      <c r="P42" s="87"/>
      <c r="Q42" s="87"/>
      <c r="R42" s="144"/>
      <c r="S42" s="144"/>
      <c r="T42" s="7"/>
    </row>
    <row r="43" spans="1:20" ht="49.5" customHeight="1" x14ac:dyDescent="0.3">
      <c r="A43" s="84"/>
      <c r="B43" s="83" t="s">
        <v>195</v>
      </c>
      <c r="C43" s="85" t="s">
        <v>129</v>
      </c>
      <c r="D43" s="79"/>
      <c r="E43" s="20"/>
      <c r="F43" s="20"/>
      <c r="G43" s="58"/>
      <c r="H43" s="65"/>
      <c r="I43" s="7"/>
      <c r="J43" s="7"/>
      <c r="K43" s="7"/>
      <c r="L43" s="13"/>
      <c r="M43" s="13"/>
      <c r="N43" s="13"/>
      <c r="O43" s="87"/>
      <c r="P43" s="87"/>
      <c r="Q43" s="87"/>
      <c r="R43" s="144"/>
      <c r="S43" s="144"/>
      <c r="T43" s="7"/>
    </row>
    <row r="44" spans="1:20" ht="48.75" customHeight="1" x14ac:dyDescent="0.3">
      <c r="A44" s="66"/>
      <c r="B44" s="70" t="s">
        <v>196</v>
      </c>
      <c r="C44" s="68" t="s">
        <v>188</v>
      </c>
      <c r="D44" s="79"/>
      <c r="E44" s="20"/>
      <c r="F44" s="20"/>
      <c r="G44" s="58"/>
      <c r="H44" s="65"/>
      <c r="I44" s="7"/>
      <c r="J44" s="7"/>
      <c r="K44" s="7"/>
      <c r="L44" s="13"/>
      <c r="M44" s="13"/>
      <c r="N44" s="13"/>
      <c r="O44" s="87"/>
      <c r="P44" s="87"/>
      <c r="Q44" s="87"/>
      <c r="R44" s="144"/>
      <c r="S44" s="144"/>
      <c r="T44" s="7"/>
    </row>
    <row r="45" spans="1:20" ht="48.75" customHeight="1" x14ac:dyDescent="0.3">
      <c r="A45" s="66"/>
      <c r="B45" s="71" t="s">
        <v>197</v>
      </c>
      <c r="C45" s="85" t="s">
        <v>129</v>
      </c>
      <c r="D45" s="79"/>
      <c r="E45" s="20"/>
      <c r="F45" s="20"/>
      <c r="G45" s="58"/>
      <c r="H45" s="65"/>
      <c r="I45" s="7"/>
      <c r="J45" s="7"/>
      <c r="K45" s="7"/>
      <c r="L45" s="13"/>
      <c r="M45" s="13"/>
      <c r="N45" s="13"/>
      <c r="O45" s="87"/>
      <c r="P45" s="87"/>
      <c r="Q45" s="87"/>
      <c r="R45" s="144"/>
      <c r="S45" s="144"/>
      <c r="T45" s="7"/>
    </row>
    <row r="46" spans="1:20" ht="48.75" customHeight="1" x14ac:dyDescent="0.3">
      <c r="A46" s="66">
        <v>3</v>
      </c>
      <c r="B46" s="70" t="s">
        <v>198</v>
      </c>
      <c r="C46" s="68" t="s">
        <v>188</v>
      </c>
      <c r="D46" s="79"/>
      <c r="E46" s="20">
        <v>1</v>
      </c>
      <c r="F46" s="20">
        <v>6</v>
      </c>
      <c r="G46" s="58"/>
      <c r="H46" s="65"/>
      <c r="I46" s="7"/>
      <c r="J46" s="7"/>
      <c r="K46" s="7"/>
      <c r="L46" s="13"/>
      <c r="M46" s="13"/>
      <c r="N46" s="13"/>
      <c r="O46" s="87"/>
      <c r="P46" s="87"/>
      <c r="Q46" s="87"/>
      <c r="R46" s="144"/>
      <c r="S46" s="144"/>
      <c r="T46" s="7"/>
    </row>
    <row r="47" spans="1:20" ht="48.75" customHeight="1" x14ac:dyDescent="0.3">
      <c r="A47" s="84"/>
      <c r="B47" s="83" t="s">
        <v>199</v>
      </c>
      <c r="C47" s="86" t="s">
        <v>188</v>
      </c>
      <c r="D47" s="79"/>
      <c r="E47" s="20"/>
      <c r="F47" s="20">
        <v>1</v>
      </c>
      <c r="G47" s="58"/>
      <c r="H47" s="65"/>
      <c r="I47" s="7"/>
      <c r="J47" s="7"/>
      <c r="K47" s="7"/>
      <c r="L47" s="13"/>
      <c r="M47" s="13"/>
      <c r="N47" s="13"/>
      <c r="O47" s="87"/>
      <c r="P47" s="87"/>
      <c r="Q47" s="87"/>
      <c r="R47" s="144"/>
      <c r="S47" s="144"/>
      <c r="T47" s="7"/>
    </row>
    <row r="48" spans="1:20" ht="65.25" customHeight="1" x14ac:dyDescent="0.3">
      <c r="A48" s="66">
        <v>4</v>
      </c>
      <c r="B48" s="71" t="s">
        <v>200</v>
      </c>
      <c r="C48" s="85" t="s">
        <v>44</v>
      </c>
      <c r="D48" s="79"/>
      <c r="E48" s="20">
        <v>180</v>
      </c>
      <c r="F48" s="20">
        <v>820</v>
      </c>
      <c r="G48" s="58"/>
      <c r="H48" s="65"/>
      <c r="I48" s="7"/>
      <c r="J48" s="7"/>
      <c r="K48" s="7"/>
      <c r="L48" s="13"/>
      <c r="M48" s="13"/>
      <c r="N48" s="13"/>
      <c r="O48" s="87"/>
      <c r="P48" s="87"/>
      <c r="Q48" s="87"/>
      <c r="R48" s="144"/>
      <c r="S48" s="144"/>
      <c r="T48" s="7"/>
    </row>
  </sheetData>
  <mergeCells count="19">
    <mergeCell ref="T5:T6"/>
    <mergeCell ref="A3:T3"/>
    <mergeCell ref="N5:N6"/>
    <mergeCell ref="A2:T2"/>
    <mergeCell ref="P1:T1"/>
    <mergeCell ref="A5:A6"/>
    <mergeCell ref="B5:B6"/>
    <mergeCell ref="C5:C6"/>
    <mergeCell ref="D5:D6"/>
    <mergeCell ref="E5:E6"/>
    <mergeCell ref="G5:G6"/>
    <mergeCell ref="H5:H6"/>
    <mergeCell ref="I5:J5"/>
    <mergeCell ref="L5:L6"/>
    <mergeCell ref="M5:M6"/>
    <mergeCell ref="F5:F6"/>
    <mergeCell ref="K5:K6"/>
    <mergeCell ref="R5:S5"/>
    <mergeCell ref="O5:Q5"/>
  </mergeCells>
  <pageMargins left="0.45" right="0.45" top="0.5" bottom="0.5" header="0.3" footer="0.3"/>
  <pageSetup paperSize="9" scale="6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T77"/>
  <sheetViews>
    <sheetView topLeftCell="A4" zoomScale="85" zoomScaleNormal="85" workbookViewId="0">
      <pane xSplit="10" ySplit="3" topLeftCell="K50" activePane="bottomRight" state="frozen"/>
      <selection activeCell="A4" sqref="A4"/>
      <selection pane="topRight" activeCell="K4" sqref="K4"/>
      <selection pane="bottomLeft" activeCell="A7" sqref="A7"/>
      <selection pane="bottomRight" activeCell="R4" sqref="R1:S1048576"/>
    </sheetView>
  </sheetViews>
  <sheetFormatPr defaultColWidth="9.140625" defaultRowHeight="18.75" x14ac:dyDescent="0.3"/>
  <cols>
    <col min="1" max="1" width="9.140625" style="93"/>
    <col min="2" max="2" width="38.42578125" style="156" customWidth="1"/>
    <col min="3" max="3" width="11.42578125" style="146" customWidth="1"/>
    <col min="4" max="4" width="13.85546875" style="157" customWidth="1"/>
    <col min="5" max="5" width="13.28515625" style="93" hidden="1" customWidth="1"/>
    <col min="6" max="11" width="13.85546875" style="93" customWidth="1"/>
    <col min="12" max="14" width="14.85546875" style="93" customWidth="1"/>
    <col min="15" max="17" width="15.28515625" style="93" customWidth="1"/>
    <col min="18" max="19" width="15.28515625" style="155" hidden="1" customWidth="1"/>
    <col min="20" max="20" width="15.28515625" style="93" customWidth="1"/>
    <col min="21" max="16384" width="9.140625" style="93"/>
  </cols>
  <sheetData>
    <row r="1" spans="1:20" ht="19.5" x14ac:dyDescent="0.35">
      <c r="A1" s="155"/>
      <c r="J1" s="158"/>
      <c r="K1" s="158"/>
      <c r="P1" s="387" t="s">
        <v>279</v>
      </c>
      <c r="Q1" s="387"/>
      <c r="R1" s="387"/>
      <c r="S1" s="387"/>
      <c r="T1" s="387"/>
    </row>
    <row r="2" spans="1:20" ht="35.25" customHeight="1" x14ac:dyDescent="0.3">
      <c r="A2" s="380" t="s">
        <v>335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</row>
    <row r="3" spans="1:20" x14ac:dyDescent="0.3">
      <c r="A3" s="381" t="str">
        <f>'1. CTCY'!A3:T3</f>
        <v>(Kèm theo báo cáo số:                 /BC-UBND ngày               tháng              năm 2023 của UBND thành phố Lai Châu)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</row>
    <row r="4" spans="1:20" x14ac:dyDescent="0.3">
      <c r="A4" s="155"/>
      <c r="B4" s="156">
        <v>2</v>
      </c>
    </row>
    <row r="5" spans="1:20" s="159" customFormat="1" ht="48.75" customHeight="1" x14ac:dyDescent="0.25">
      <c r="A5" s="375" t="s">
        <v>313</v>
      </c>
      <c r="B5" s="375" t="s">
        <v>312</v>
      </c>
      <c r="C5" s="375" t="s">
        <v>311</v>
      </c>
      <c r="D5" s="375" t="s">
        <v>315</v>
      </c>
      <c r="E5" s="375" t="s">
        <v>321</v>
      </c>
      <c r="F5" s="375" t="s">
        <v>320</v>
      </c>
      <c r="G5" s="375" t="s">
        <v>310</v>
      </c>
      <c r="H5" s="375" t="s">
        <v>309</v>
      </c>
      <c r="I5" s="386" t="s">
        <v>343</v>
      </c>
      <c r="J5" s="386"/>
      <c r="K5" s="377" t="s">
        <v>356</v>
      </c>
      <c r="L5" s="377" t="s">
        <v>352</v>
      </c>
      <c r="M5" s="377" t="s">
        <v>353</v>
      </c>
      <c r="N5" s="377" t="s">
        <v>349</v>
      </c>
      <c r="O5" s="397" t="s">
        <v>308</v>
      </c>
      <c r="P5" s="398"/>
      <c r="Q5" s="399"/>
      <c r="R5" s="392" t="s">
        <v>336</v>
      </c>
      <c r="S5" s="392"/>
      <c r="T5" s="375" t="s">
        <v>314</v>
      </c>
    </row>
    <row r="6" spans="1:20" s="159" customFormat="1" ht="164.25" customHeight="1" x14ac:dyDescent="0.25">
      <c r="A6" s="376"/>
      <c r="B6" s="376"/>
      <c r="C6" s="376"/>
      <c r="D6" s="376"/>
      <c r="E6" s="376"/>
      <c r="F6" s="376"/>
      <c r="G6" s="376"/>
      <c r="H6" s="376"/>
      <c r="I6" s="41" t="s">
        <v>346</v>
      </c>
      <c r="J6" s="41" t="s">
        <v>345</v>
      </c>
      <c r="K6" s="378"/>
      <c r="L6" s="378"/>
      <c r="M6" s="378"/>
      <c r="N6" s="378"/>
      <c r="O6" s="260" t="s">
        <v>354</v>
      </c>
      <c r="P6" s="260" t="s">
        <v>357</v>
      </c>
      <c r="Q6" s="260" t="s">
        <v>358</v>
      </c>
      <c r="R6" s="135" t="s">
        <v>337</v>
      </c>
      <c r="S6" s="135" t="s">
        <v>338</v>
      </c>
      <c r="T6" s="376"/>
    </row>
    <row r="7" spans="1:20" s="160" customFormat="1" x14ac:dyDescent="0.25">
      <c r="A7" s="94">
        <v>1</v>
      </c>
      <c r="B7" s="94">
        <v>2</v>
      </c>
      <c r="C7" s="94">
        <v>3</v>
      </c>
      <c r="D7" s="94">
        <v>4</v>
      </c>
      <c r="E7" s="94"/>
      <c r="F7" s="94">
        <v>5</v>
      </c>
      <c r="G7" s="94">
        <v>6</v>
      </c>
      <c r="H7" s="94">
        <v>7</v>
      </c>
      <c r="I7" s="9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145" t="s">
        <v>359</v>
      </c>
      <c r="P7" s="145" t="s">
        <v>360</v>
      </c>
      <c r="Q7" s="145" t="s">
        <v>355</v>
      </c>
      <c r="R7" s="4">
        <v>17</v>
      </c>
      <c r="S7" s="94">
        <v>18</v>
      </c>
      <c r="T7" s="94">
        <v>19</v>
      </c>
    </row>
    <row r="8" spans="1:20" s="159" customFormat="1" ht="44.25" customHeight="1" x14ac:dyDescent="0.25">
      <c r="A8" s="89" t="s">
        <v>1</v>
      </c>
      <c r="B8" s="11" t="s">
        <v>202</v>
      </c>
      <c r="C8" s="161" t="s">
        <v>44</v>
      </c>
      <c r="D8" s="110">
        <v>45121</v>
      </c>
      <c r="E8" s="101">
        <v>51384</v>
      </c>
      <c r="F8" s="101">
        <v>51384</v>
      </c>
      <c r="G8" s="101">
        <v>45956</v>
      </c>
      <c r="H8" s="101">
        <v>46609</v>
      </c>
      <c r="I8" s="101">
        <v>47084</v>
      </c>
      <c r="J8" s="101">
        <v>47469</v>
      </c>
      <c r="K8" s="101">
        <f>+I8</f>
        <v>47084</v>
      </c>
      <c r="L8" s="101">
        <v>48324</v>
      </c>
      <c r="M8" s="101">
        <v>49193</v>
      </c>
      <c r="N8" s="101">
        <f>M8</f>
        <v>49193</v>
      </c>
      <c r="O8" s="101">
        <f>K8/D8%</f>
        <v>104.35052414618471</v>
      </c>
      <c r="P8" s="101">
        <f>K8/F8%</f>
        <v>91.631636307021637</v>
      </c>
      <c r="Q8" s="101">
        <f>N8/F8%</f>
        <v>95.736026778763815</v>
      </c>
      <c r="R8" s="205"/>
      <c r="S8" s="205"/>
      <c r="T8" s="22"/>
    </row>
    <row r="9" spans="1:20" s="159" customFormat="1" ht="44.25" customHeight="1" x14ac:dyDescent="0.25">
      <c r="A9" s="89" t="s">
        <v>47</v>
      </c>
      <c r="B9" s="11" t="s">
        <v>203</v>
      </c>
      <c r="C9" s="161"/>
      <c r="D9" s="110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205"/>
      <c r="S9" s="205"/>
      <c r="T9" s="22"/>
    </row>
    <row r="10" spans="1:20" s="159" customFormat="1" ht="51.75" customHeight="1" x14ac:dyDescent="0.25">
      <c r="A10" s="22"/>
      <c r="B10" s="21" t="s">
        <v>204</v>
      </c>
      <c r="C10" s="161" t="s">
        <v>44</v>
      </c>
      <c r="D10" s="110">
        <v>44799</v>
      </c>
      <c r="E10" s="101">
        <v>50589.517108331995</v>
      </c>
      <c r="F10" s="101">
        <v>50590</v>
      </c>
      <c r="G10" s="101">
        <v>45577</v>
      </c>
      <c r="H10" s="101">
        <v>46283</v>
      </c>
      <c r="I10" s="101">
        <v>46562</v>
      </c>
      <c r="J10" s="101">
        <v>47041</v>
      </c>
      <c r="K10" s="101">
        <f>+I10</f>
        <v>46562</v>
      </c>
      <c r="L10" s="101">
        <v>47899</v>
      </c>
      <c r="M10" s="101">
        <v>48760</v>
      </c>
      <c r="N10" s="101">
        <f>M10</f>
        <v>48760</v>
      </c>
      <c r="O10" s="101">
        <f t="shared" ref="O10:O70" si="0">K10/D10%</f>
        <v>103.93535569990401</v>
      </c>
      <c r="P10" s="101">
        <f t="shared" ref="P10:P70" si="1">K10/F10%</f>
        <v>92.037952164459384</v>
      </c>
      <c r="Q10" s="101">
        <f t="shared" ref="Q10:Q70" si="2">N10/F10%</f>
        <v>96.38268432496541</v>
      </c>
      <c r="R10" s="205"/>
      <c r="S10" s="205"/>
      <c r="T10" s="22"/>
    </row>
    <row r="11" spans="1:20" s="159" customFormat="1" ht="51.75" customHeight="1" x14ac:dyDescent="0.25">
      <c r="A11" s="22"/>
      <c r="B11" s="163" t="s">
        <v>205</v>
      </c>
      <c r="C11" s="161" t="s">
        <v>44</v>
      </c>
      <c r="D11" s="110">
        <v>9435</v>
      </c>
      <c r="E11" s="101">
        <v>10495</v>
      </c>
      <c r="F11" s="101">
        <v>10495</v>
      </c>
      <c r="G11" s="101">
        <v>9447</v>
      </c>
      <c r="H11" s="101">
        <v>9579</v>
      </c>
      <c r="I11" s="101">
        <v>9681</v>
      </c>
      <c r="J11" s="101">
        <v>9760</v>
      </c>
      <c r="K11" s="101">
        <f>+I11</f>
        <v>9681</v>
      </c>
      <c r="L11" s="101">
        <v>9936</v>
      </c>
      <c r="M11" s="101">
        <v>10115</v>
      </c>
      <c r="N11" s="101">
        <f>M11</f>
        <v>10115</v>
      </c>
      <c r="O11" s="101">
        <f t="shared" si="0"/>
        <v>102.6073131955485</v>
      </c>
      <c r="P11" s="101">
        <f t="shared" si="1"/>
        <v>92.243925678894712</v>
      </c>
      <c r="Q11" s="101">
        <f t="shared" si="2"/>
        <v>96.379228203906621</v>
      </c>
      <c r="R11" s="205"/>
      <c r="S11" s="205"/>
      <c r="T11" s="22"/>
    </row>
    <row r="12" spans="1:20" s="159" customFormat="1" ht="51.75" customHeight="1" x14ac:dyDescent="0.25">
      <c r="A12" s="22"/>
      <c r="B12" s="116" t="s">
        <v>206</v>
      </c>
      <c r="C12" s="164" t="s">
        <v>207</v>
      </c>
      <c r="D12" s="165">
        <v>-1.1000000000000001</v>
      </c>
      <c r="E12" s="166">
        <v>0.5</v>
      </c>
      <c r="F12" s="166">
        <v>0.5</v>
      </c>
      <c r="G12" s="166">
        <v>1.31</v>
      </c>
      <c r="H12" s="166">
        <v>2.69</v>
      </c>
      <c r="I12" s="166">
        <v>0.3</v>
      </c>
      <c r="J12" s="166">
        <v>0.3</v>
      </c>
      <c r="K12" s="166">
        <f>I12</f>
        <v>0.3</v>
      </c>
      <c r="L12" s="166">
        <v>0.3</v>
      </c>
      <c r="M12" s="166">
        <v>0.3</v>
      </c>
      <c r="N12" s="166">
        <f>M12</f>
        <v>0.3</v>
      </c>
      <c r="O12" s="101">
        <f>K12/D12%</f>
        <v>-27.27272727272727</v>
      </c>
      <c r="P12" s="101">
        <f t="shared" si="1"/>
        <v>60</v>
      </c>
      <c r="Q12" s="101">
        <f t="shared" si="2"/>
        <v>60</v>
      </c>
      <c r="R12" s="205"/>
      <c r="S12" s="205"/>
      <c r="T12" s="22"/>
    </row>
    <row r="13" spans="1:20" s="159" customFormat="1" ht="51.75" customHeight="1" x14ac:dyDescent="0.25">
      <c r="A13" s="22"/>
      <c r="B13" s="116" t="s">
        <v>208</v>
      </c>
      <c r="C13" s="164" t="s">
        <v>129</v>
      </c>
      <c r="D13" s="168">
        <v>1.31</v>
      </c>
      <c r="E13" s="169">
        <v>3.19</v>
      </c>
      <c r="F13" s="169">
        <v>2.7</v>
      </c>
      <c r="G13" s="166">
        <v>1.1599999999999999</v>
      </c>
      <c r="H13" s="166">
        <v>1.55</v>
      </c>
      <c r="I13" s="166"/>
      <c r="J13" s="166">
        <v>1.44</v>
      </c>
      <c r="K13" s="166">
        <f>J13</f>
        <v>1.44</v>
      </c>
      <c r="L13" s="166">
        <v>2.2599999999999998</v>
      </c>
      <c r="M13" s="166">
        <v>2.63</v>
      </c>
      <c r="N13" s="166">
        <f>M13</f>
        <v>2.63</v>
      </c>
      <c r="O13" s="101">
        <f>D13/K13%</f>
        <v>90.972222222222229</v>
      </c>
      <c r="P13" s="101">
        <f>F13/K13%</f>
        <v>187.50000000000003</v>
      </c>
      <c r="Q13" s="101">
        <f>F13/N13%</f>
        <v>102.66159695817491</v>
      </c>
      <c r="R13" s="205" t="s">
        <v>339</v>
      </c>
      <c r="S13" s="205" t="s">
        <v>339</v>
      </c>
      <c r="T13" s="22"/>
    </row>
    <row r="14" spans="1:20" s="159" customFormat="1" ht="51.75" customHeight="1" x14ac:dyDescent="0.25">
      <c r="A14" s="22"/>
      <c r="B14" s="170" t="s">
        <v>209</v>
      </c>
      <c r="C14" s="164" t="s">
        <v>329</v>
      </c>
      <c r="D14" s="165">
        <v>12.9</v>
      </c>
      <c r="E14" s="166">
        <v>9.5</v>
      </c>
      <c r="F14" s="166">
        <v>9.5</v>
      </c>
      <c r="G14" s="166">
        <v>11.6</v>
      </c>
      <c r="H14" s="166">
        <v>9.0299999999999994</v>
      </c>
      <c r="I14" s="166"/>
      <c r="J14" s="166">
        <v>10.78</v>
      </c>
      <c r="K14" s="166">
        <f>J14</f>
        <v>10.78</v>
      </c>
      <c r="L14" s="166">
        <v>10.65</v>
      </c>
      <c r="M14" s="166">
        <v>10.5</v>
      </c>
      <c r="N14" s="166">
        <f>M14</f>
        <v>10.5</v>
      </c>
      <c r="O14" s="101">
        <f>D14/K14%</f>
        <v>119.66604823747682</v>
      </c>
      <c r="P14" s="101">
        <f>F14/K14%</f>
        <v>88.126159554730989</v>
      </c>
      <c r="Q14" s="101">
        <f>F14/N14%</f>
        <v>90.476190476190482</v>
      </c>
      <c r="R14" s="205"/>
      <c r="S14" s="205"/>
      <c r="T14" s="22"/>
    </row>
    <row r="15" spans="1:20" s="159" customFormat="1" ht="52.5" customHeight="1" x14ac:dyDescent="0.25">
      <c r="A15" s="89" t="s">
        <v>50</v>
      </c>
      <c r="B15" s="172" t="s">
        <v>210</v>
      </c>
      <c r="C15" s="173"/>
      <c r="D15" s="110"/>
      <c r="E15" s="101"/>
      <c r="F15" s="101"/>
      <c r="G15" s="162"/>
      <c r="H15" s="162"/>
      <c r="I15" s="22"/>
      <c r="J15" s="22"/>
      <c r="K15" s="22"/>
      <c r="L15" s="100"/>
      <c r="M15" s="100"/>
      <c r="N15" s="100"/>
      <c r="O15" s="101"/>
      <c r="P15" s="101"/>
      <c r="Q15" s="101"/>
      <c r="R15" s="205"/>
      <c r="S15" s="205"/>
      <c r="T15" s="22"/>
    </row>
    <row r="16" spans="1:20" s="159" customFormat="1" ht="60.75" customHeight="1" x14ac:dyDescent="0.25">
      <c r="A16" s="22">
        <v>1</v>
      </c>
      <c r="B16" s="174" t="s">
        <v>211</v>
      </c>
      <c r="C16" s="161" t="s">
        <v>212</v>
      </c>
      <c r="D16" s="168">
        <v>8.8699999999999992</v>
      </c>
      <c r="E16" s="169">
        <v>9.8834705009993247</v>
      </c>
      <c r="F16" s="169">
        <v>9.8800000000000008</v>
      </c>
      <c r="G16" s="171">
        <v>6.5</v>
      </c>
      <c r="H16" s="171">
        <v>6.4</v>
      </c>
      <c r="I16" s="99">
        <v>6.38</v>
      </c>
      <c r="J16" s="99">
        <v>6.38</v>
      </c>
      <c r="K16" s="99">
        <f>I16</f>
        <v>6.38</v>
      </c>
      <c r="L16" s="99">
        <v>6.24</v>
      </c>
      <c r="M16" s="99">
        <v>8.1</v>
      </c>
      <c r="N16" s="99">
        <f>+M16</f>
        <v>8.1</v>
      </c>
      <c r="O16" s="101">
        <f>K16/D16%</f>
        <v>71.927846674182646</v>
      </c>
      <c r="P16" s="101">
        <f>K16/F16%</f>
        <v>64.574898785425091</v>
      </c>
      <c r="Q16" s="101">
        <f>N16/F16%</f>
        <v>81.983805668016174</v>
      </c>
      <c r="R16" s="205"/>
      <c r="S16" s="205"/>
      <c r="T16" s="22"/>
    </row>
    <row r="17" spans="1:20" s="159" customFormat="1" ht="57.75" customHeight="1" x14ac:dyDescent="0.25">
      <c r="A17" s="22">
        <v>2</v>
      </c>
      <c r="B17" s="174" t="s">
        <v>213</v>
      </c>
      <c r="C17" s="164" t="s">
        <v>212</v>
      </c>
      <c r="D17" s="168">
        <v>8.8699999999999992</v>
      </c>
      <c r="E17" s="169">
        <v>15.418213981558948</v>
      </c>
      <c r="F17" s="169">
        <v>15.42</v>
      </c>
      <c r="G17" s="162">
        <v>30</v>
      </c>
      <c r="H17" s="162">
        <v>30</v>
      </c>
      <c r="I17" s="99">
        <v>6.38</v>
      </c>
      <c r="J17" s="99">
        <v>6.38</v>
      </c>
      <c r="K17" s="99">
        <f>I17</f>
        <v>6.38</v>
      </c>
      <c r="L17" s="99">
        <v>6.24</v>
      </c>
      <c r="M17" s="99">
        <v>8.1</v>
      </c>
      <c r="N17" s="99">
        <f>+M17</f>
        <v>8.1</v>
      </c>
      <c r="O17" s="101">
        <f t="shared" si="0"/>
        <v>71.927846674182646</v>
      </c>
      <c r="P17" s="101">
        <f t="shared" si="1"/>
        <v>41.374837872892343</v>
      </c>
      <c r="Q17" s="101">
        <f t="shared" si="2"/>
        <v>52.52918287937743</v>
      </c>
      <c r="R17" s="205"/>
      <c r="S17" s="205"/>
      <c r="T17" s="22"/>
    </row>
    <row r="18" spans="1:20" s="159" customFormat="1" ht="57" customHeight="1" x14ac:dyDescent="0.25">
      <c r="A18" s="22">
        <v>3</v>
      </c>
      <c r="B18" s="174" t="s">
        <v>214</v>
      </c>
      <c r="C18" s="164" t="s">
        <v>212</v>
      </c>
      <c r="D18" s="110"/>
      <c r="E18" s="101"/>
      <c r="F18" s="101"/>
      <c r="G18" s="162"/>
      <c r="H18" s="162"/>
      <c r="I18" s="22"/>
      <c r="J18" s="22"/>
      <c r="K18" s="22"/>
      <c r="L18" s="100"/>
      <c r="M18" s="100"/>
      <c r="N18" s="100"/>
      <c r="O18" s="101"/>
      <c r="P18" s="101"/>
      <c r="Q18" s="101"/>
      <c r="R18" s="205"/>
      <c r="S18" s="205"/>
      <c r="T18" s="22"/>
    </row>
    <row r="19" spans="1:20" s="159" customFormat="1" ht="57" customHeight="1" x14ac:dyDescent="0.25">
      <c r="A19" s="22">
        <v>4</v>
      </c>
      <c r="B19" s="174" t="s">
        <v>215</v>
      </c>
      <c r="C19" s="161" t="s">
        <v>216</v>
      </c>
      <c r="D19" s="165">
        <v>4.9000000000000004</v>
      </c>
      <c r="E19" s="166">
        <v>4.42</v>
      </c>
      <c r="F19" s="166">
        <v>4.4000000000000004</v>
      </c>
      <c r="G19" s="167">
        <v>5.07</v>
      </c>
      <c r="H19" s="167">
        <v>6.25</v>
      </c>
      <c r="I19" s="99">
        <v>5.74</v>
      </c>
      <c r="J19" s="99">
        <v>5.74</v>
      </c>
      <c r="K19" s="99">
        <f>I19</f>
        <v>5.74</v>
      </c>
      <c r="L19" s="100">
        <v>6.03</v>
      </c>
      <c r="M19" s="100">
        <v>6.08</v>
      </c>
      <c r="N19" s="100">
        <f>+M19</f>
        <v>6.08</v>
      </c>
      <c r="O19" s="101">
        <f t="shared" si="0"/>
        <v>117.14285714285714</v>
      </c>
      <c r="P19" s="101">
        <f t="shared" si="1"/>
        <v>130.45454545454544</v>
      </c>
      <c r="Q19" s="101">
        <f t="shared" si="2"/>
        <v>138.18181818181816</v>
      </c>
      <c r="R19" s="205" t="s">
        <v>339</v>
      </c>
      <c r="S19" s="205" t="s">
        <v>339</v>
      </c>
      <c r="T19" s="22"/>
    </row>
    <row r="20" spans="1:20" ht="67.5" customHeight="1" x14ac:dyDescent="0.3">
      <c r="A20" s="22">
        <v>5</v>
      </c>
      <c r="B20" s="174" t="s">
        <v>217</v>
      </c>
      <c r="C20" s="161" t="s">
        <v>218</v>
      </c>
      <c r="D20" s="175"/>
      <c r="E20" s="101"/>
      <c r="F20" s="101"/>
      <c r="G20" s="162"/>
      <c r="H20" s="162"/>
      <c r="I20" s="95"/>
      <c r="J20" s="95"/>
      <c r="K20" s="95"/>
      <c r="L20" s="100"/>
      <c r="M20" s="100"/>
      <c r="N20" s="100"/>
      <c r="O20" s="101"/>
      <c r="P20" s="101"/>
      <c r="Q20" s="101"/>
      <c r="R20" s="205"/>
      <c r="S20" s="205"/>
      <c r="T20" s="95"/>
    </row>
    <row r="21" spans="1:20" ht="50.25" customHeight="1" x14ac:dyDescent="0.3">
      <c r="A21" s="22">
        <v>6</v>
      </c>
      <c r="B21" s="174" t="s">
        <v>219</v>
      </c>
      <c r="C21" s="161" t="s">
        <v>207</v>
      </c>
      <c r="D21" s="165">
        <v>6.5</v>
      </c>
      <c r="E21" s="101" t="s">
        <v>292</v>
      </c>
      <c r="F21" s="166">
        <v>4</v>
      </c>
      <c r="G21" s="167">
        <v>4.46</v>
      </c>
      <c r="H21" s="167">
        <v>1.79</v>
      </c>
      <c r="I21" s="176">
        <v>3</v>
      </c>
      <c r="J21" s="176">
        <v>6.15</v>
      </c>
      <c r="K21" s="176">
        <f>I21</f>
        <v>3</v>
      </c>
      <c r="L21" s="176">
        <v>6</v>
      </c>
      <c r="M21" s="176">
        <v>6</v>
      </c>
      <c r="N21" s="176">
        <f>+M21</f>
        <v>6</v>
      </c>
      <c r="O21" s="101">
        <f t="shared" si="0"/>
        <v>46.153846153846153</v>
      </c>
      <c r="P21" s="101">
        <f t="shared" si="1"/>
        <v>75</v>
      </c>
      <c r="Q21" s="101">
        <f t="shared" si="2"/>
        <v>150</v>
      </c>
      <c r="R21" s="205" t="s">
        <v>339</v>
      </c>
      <c r="S21" s="205" t="s">
        <v>339</v>
      </c>
      <c r="T21" s="95"/>
    </row>
    <row r="22" spans="1:20" ht="55.5" customHeight="1" x14ac:dyDescent="0.3">
      <c r="A22" s="22">
        <v>7</v>
      </c>
      <c r="B22" s="174" t="s">
        <v>220</v>
      </c>
      <c r="C22" s="161" t="s">
        <v>207</v>
      </c>
      <c r="D22" s="165">
        <v>6.5</v>
      </c>
      <c r="E22" s="101" t="s">
        <v>293</v>
      </c>
      <c r="F22" s="166">
        <v>6.7</v>
      </c>
      <c r="G22" s="167">
        <v>7.43</v>
      </c>
      <c r="H22" s="167">
        <v>5.37</v>
      </c>
      <c r="I22" s="176">
        <v>4.5</v>
      </c>
      <c r="J22" s="176">
        <v>9.84</v>
      </c>
      <c r="K22" s="176">
        <f t="shared" ref="K22:K26" si="3">I22</f>
        <v>4.5</v>
      </c>
      <c r="L22" s="176">
        <v>9.1999999999999993</v>
      </c>
      <c r="M22" s="176">
        <v>9</v>
      </c>
      <c r="N22" s="176">
        <f t="shared" ref="N22:N25" si="4">+M22</f>
        <v>9</v>
      </c>
      <c r="O22" s="101">
        <f t="shared" si="0"/>
        <v>69.230769230769226</v>
      </c>
      <c r="P22" s="101">
        <f t="shared" si="1"/>
        <v>67.164179104477611</v>
      </c>
      <c r="Q22" s="101">
        <f t="shared" si="2"/>
        <v>134.32835820895522</v>
      </c>
      <c r="R22" s="205" t="s">
        <v>339</v>
      </c>
      <c r="S22" s="205" t="s">
        <v>339</v>
      </c>
      <c r="T22" s="95"/>
    </row>
    <row r="23" spans="1:20" ht="55.5" customHeight="1" x14ac:dyDescent="0.3">
      <c r="A23" s="22">
        <v>8</v>
      </c>
      <c r="B23" s="174" t="s">
        <v>221</v>
      </c>
      <c r="C23" s="161" t="s">
        <v>129</v>
      </c>
      <c r="D23" s="165">
        <v>11.2</v>
      </c>
      <c r="E23" s="101" t="s">
        <v>294</v>
      </c>
      <c r="F23" s="166">
        <v>10.5</v>
      </c>
      <c r="G23" s="171">
        <v>10.7</v>
      </c>
      <c r="H23" s="171">
        <v>10.14</v>
      </c>
      <c r="I23" s="100">
        <v>9.6999999999999993</v>
      </c>
      <c r="J23" s="100">
        <v>9.6999999999999993</v>
      </c>
      <c r="K23" s="176">
        <f t="shared" si="3"/>
        <v>9.6999999999999993</v>
      </c>
      <c r="L23" s="100">
        <v>9.1999999999999993</v>
      </c>
      <c r="M23" s="100">
        <v>9</v>
      </c>
      <c r="N23" s="176">
        <f t="shared" si="4"/>
        <v>9</v>
      </c>
      <c r="O23" s="101">
        <f t="shared" si="0"/>
        <v>86.607142857142861</v>
      </c>
      <c r="P23" s="101">
        <f t="shared" si="1"/>
        <v>92.38095238095238</v>
      </c>
      <c r="Q23" s="101">
        <f t="shared" si="2"/>
        <v>85.714285714285722</v>
      </c>
      <c r="R23" s="205" t="s">
        <v>339</v>
      </c>
      <c r="S23" s="205" t="s">
        <v>339</v>
      </c>
      <c r="T23" s="95"/>
    </row>
    <row r="24" spans="1:20" ht="55.5" customHeight="1" x14ac:dyDescent="0.3">
      <c r="A24" s="22">
        <v>9</v>
      </c>
      <c r="B24" s="21" t="s">
        <v>222</v>
      </c>
      <c r="C24" s="161" t="s">
        <v>129</v>
      </c>
      <c r="D24" s="110">
        <v>100</v>
      </c>
      <c r="E24" s="101">
        <v>100</v>
      </c>
      <c r="F24" s="101">
        <v>100</v>
      </c>
      <c r="G24" s="110">
        <v>100</v>
      </c>
      <c r="H24" s="110">
        <v>100</v>
      </c>
      <c r="I24" s="110">
        <v>100</v>
      </c>
      <c r="J24" s="110">
        <v>100</v>
      </c>
      <c r="K24" s="222">
        <f t="shared" si="3"/>
        <v>100</v>
      </c>
      <c r="L24" s="110">
        <v>100</v>
      </c>
      <c r="M24" s="110">
        <v>100</v>
      </c>
      <c r="N24" s="176">
        <f t="shared" si="4"/>
        <v>100</v>
      </c>
      <c r="O24" s="101">
        <f t="shared" si="0"/>
        <v>100</v>
      </c>
      <c r="P24" s="101">
        <f t="shared" si="1"/>
        <v>100</v>
      </c>
      <c r="Q24" s="101">
        <f t="shared" si="2"/>
        <v>100</v>
      </c>
      <c r="R24" s="205" t="s">
        <v>339</v>
      </c>
      <c r="S24" s="205" t="s">
        <v>339</v>
      </c>
      <c r="T24" s="95"/>
    </row>
    <row r="25" spans="1:20" ht="55.5" customHeight="1" x14ac:dyDescent="0.3">
      <c r="A25" s="22">
        <v>10</v>
      </c>
      <c r="B25" s="170" t="s">
        <v>223</v>
      </c>
      <c r="C25" s="161" t="s">
        <v>129</v>
      </c>
      <c r="D25" s="165">
        <v>96.6</v>
      </c>
      <c r="E25" s="101">
        <v>100</v>
      </c>
      <c r="F25" s="101">
        <v>100</v>
      </c>
      <c r="G25" s="171">
        <v>96.9</v>
      </c>
      <c r="H25" s="212">
        <v>90.6</v>
      </c>
      <c r="I25" s="100">
        <v>96.9</v>
      </c>
      <c r="J25" s="100">
        <v>96.9</v>
      </c>
      <c r="K25" s="176">
        <f t="shared" si="3"/>
        <v>96.9</v>
      </c>
      <c r="L25" s="100">
        <v>97.1</v>
      </c>
      <c r="M25" s="100">
        <v>97.2</v>
      </c>
      <c r="N25" s="176">
        <f t="shared" si="4"/>
        <v>97.2</v>
      </c>
      <c r="O25" s="101">
        <f t="shared" si="0"/>
        <v>100.31055900621119</v>
      </c>
      <c r="P25" s="101">
        <f t="shared" si="1"/>
        <v>96.9</v>
      </c>
      <c r="Q25" s="101">
        <f t="shared" si="2"/>
        <v>97.2</v>
      </c>
      <c r="R25" s="205"/>
      <c r="S25" s="205"/>
      <c r="T25" s="95"/>
    </row>
    <row r="26" spans="1:20" ht="55.5" customHeight="1" x14ac:dyDescent="0.3">
      <c r="A26" s="22">
        <v>11</v>
      </c>
      <c r="B26" s="170" t="s">
        <v>224</v>
      </c>
      <c r="C26" s="161" t="s">
        <v>129</v>
      </c>
      <c r="D26" s="110">
        <v>100</v>
      </c>
      <c r="E26" s="101" t="s">
        <v>295</v>
      </c>
      <c r="F26" s="166">
        <v>97.2</v>
      </c>
      <c r="G26" s="162">
        <v>100</v>
      </c>
      <c r="H26" s="162">
        <v>100</v>
      </c>
      <c r="I26" s="100">
        <v>100</v>
      </c>
      <c r="J26" s="100">
        <v>100</v>
      </c>
      <c r="K26" s="176">
        <f t="shared" si="3"/>
        <v>100</v>
      </c>
      <c r="L26" s="100">
        <v>100</v>
      </c>
      <c r="M26" s="100">
        <v>100</v>
      </c>
      <c r="N26" s="176">
        <f>+M26</f>
        <v>100</v>
      </c>
      <c r="O26" s="101">
        <f t="shared" si="0"/>
        <v>100</v>
      </c>
      <c r="P26" s="101">
        <f t="shared" si="1"/>
        <v>102.88065843621399</v>
      </c>
      <c r="Q26" s="101">
        <f t="shared" si="2"/>
        <v>102.88065843621399</v>
      </c>
      <c r="R26" s="205" t="s">
        <v>339</v>
      </c>
      <c r="S26" s="205" t="s">
        <v>339</v>
      </c>
      <c r="T26" s="95"/>
    </row>
    <row r="27" spans="1:20" ht="47.25" customHeight="1" x14ac:dyDescent="0.3">
      <c r="A27" s="22">
        <v>12</v>
      </c>
      <c r="B27" s="170" t="s">
        <v>225</v>
      </c>
      <c r="C27" s="161" t="s">
        <v>129</v>
      </c>
      <c r="D27" s="165">
        <v>89.5</v>
      </c>
      <c r="E27" s="101">
        <v>96</v>
      </c>
      <c r="F27" s="101">
        <v>96</v>
      </c>
      <c r="G27" s="162">
        <v>90</v>
      </c>
      <c r="H27" s="162">
        <v>92</v>
      </c>
      <c r="I27" s="100">
        <v>93</v>
      </c>
      <c r="J27" s="100">
        <v>94</v>
      </c>
      <c r="K27" s="176">
        <f>I27</f>
        <v>93</v>
      </c>
      <c r="L27" s="100">
        <v>95</v>
      </c>
      <c r="M27" s="100">
        <v>96</v>
      </c>
      <c r="N27" s="176">
        <f>+M27</f>
        <v>96</v>
      </c>
      <c r="O27" s="101">
        <f t="shared" si="0"/>
        <v>103.91061452513966</v>
      </c>
      <c r="P27" s="101">
        <f t="shared" si="1"/>
        <v>96.875</v>
      </c>
      <c r="Q27" s="101">
        <f t="shared" si="2"/>
        <v>100</v>
      </c>
      <c r="R27" s="205"/>
      <c r="S27" s="205" t="s">
        <v>339</v>
      </c>
      <c r="T27" s="95"/>
    </row>
    <row r="28" spans="1:20" ht="47.25" customHeight="1" x14ac:dyDescent="0.3">
      <c r="A28" s="89" t="s">
        <v>17</v>
      </c>
      <c r="B28" s="172" t="s">
        <v>226</v>
      </c>
      <c r="C28" s="177"/>
      <c r="D28" s="110"/>
      <c r="E28" s="101"/>
      <c r="F28" s="101"/>
      <c r="G28" s="162"/>
      <c r="H28" s="162"/>
      <c r="I28" s="95"/>
      <c r="J28" s="95"/>
      <c r="K28" s="95"/>
      <c r="L28" s="100"/>
      <c r="M28" s="100"/>
      <c r="N28" s="100"/>
      <c r="O28" s="101"/>
      <c r="P28" s="101"/>
      <c r="Q28" s="101"/>
      <c r="R28" s="205"/>
      <c r="S28" s="205"/>
      <c r="T28" s="95"/>
    </row>
    <row r="29" spans="1:20" ht="57.75" customHeight="1" x14ac:dyDescent="0.3">
      <c r="A29" s="22">
        <v>1</v>
      </c>
      <c r="B29" s="170" t="s">
        <v>227</v>
      </c>
      <c r="C29" s="161" t="s">
        <v>188</v>
      </c>
      <c r="D29" s="110">
        <v>31107</v>
      </c>
      <c r="E29" s="101">
        <v>32885.760000000002</v>
      </c>
      <c r="F29" s="101">
        <v>32886</v>
      </c>
      <c r="G29" s="101">
        <v>31235</v>
      </c>
      <c r="H29" s="101">
        <v>31345</v>
      </c>
      <c r="I29" s="101">
        <v>31520</v>
      </c>
      <c r="J29" s="101">
        <v>31774</v>
      </c>
      <c r="K29" s="101">
        <f>I29</f>
        <v>31520</v>
      </c>
      <c r="L29" s="101">
        <v>32502</v>
      </c>
      <c r="M29" s="101">
        <v>32886</v>
      </c>
      <c r="N29" s="101">
        <f>M29</f>
        <v>32886</v>
      </c>
      <c r="O29" s="101">
        <f t="shared" si="0"/>
        <v>101.32767544282638</v>
      </c>
      <c r="P29" s="101">
        <f t="shared" si="1"/>
        <v>95.846256765796994</v>
      </c>
      <c r="Q29" s="101">
        <f t="shared" si="2"/>
        <v>100</v>
      </c>
      <c r="R29" s="205"/>
      <c r="S29" s="205" t="s">
        <v>339</v>
      </c>
      <c r="T29" s="95"/>
    </row>
    <row r="30" spans="1:20" ht="69.75" customHeight="1" x14ac:dyDescent="0.3">
      <c r="A30" s="22">
        <v>2</v>
      </c>
      <c r="B30" s="170" t="s">
        <v>228</v>
      </c>
      <c r="C30" s="161" t="s">
        <v>188</v>
      </c>
      <c r="D30" s="110">
        <v>29492</v>
      </c>
      <c r="E30" s="101">
        <v>32228.0448</v>
      </c>
      <c r="F30" s="101">
        <v>32228</v>
      </c>
      <c r="G30" s="101">
        <v>29370</v>
      </c>
      <c r="H30" s="101">
        <v>29467</v>
      </c>
      <c r="I30" s="101">
        <v>30325</v>
      </c>
      <c r="J30" s="101">
        <v>30675</v>
      </c>
      <c r="K30" s="101">
        <f>I30</f>
        <v>30325</v>
      </c>
      <c r="L30" s="101">
        <v>31520</v>
      </c>
      <c r="M30" s="101">
        <v>32228</v>
      </c>
      <c r="N30" s="101">
        <f>M30</f>
        <v>32228</v>
      </c>
      <c r="O30" s="101">
        <f t="shared" si="0"/>
        <v>102.82449477824494</v>
      </c>
      <c r="P30" s="101">
        <f t="shared" si="1"/>
        <v>94.095196723346163</v>
      </c>
      <c r="Q30" s="101">
        <f t="shared" si="2"/>
        <v>100.00000000000001</v>
      </c>
      <c r="R30" s="205"/>
      <c r="S30" s="205" t="s">
        <v>339</v>
      </c>
      <c r="T30" s="95"/>
    </row>
    <row r="31" spans="1:20" ht="47.25" customHeight="1" x14ac:dyDescent="0.3">
      <c r="A31" s="22"/>
      <c r="B31" s="178" t="s">
        <v>229</v>
      </c>
      <c r="C31" s="154"/>
      <c r="D31" s="110"/>
      <c r="E31" s="101"/>
      <c r="F31" s="101"/>
      <c r="G31" s="162"/>
      <c r="H31" s="162"/>
      <c r="I31" s="95"/>
      <c r="J31" s="95"/>
      <c r="K31" s="95"/>
      <c r="L31" s="100"/>
      <c r="M31" s="100"/>
      <c r="N31" s="100"/>
      <c r="O31" s="101"/>
      <c r="P31" s="101"/>
      <c r="Q31" s="101"/>
      <c r="R31" s="205"/>
      <c r="S31" s="205"/>
      <c r="T31" s="95"/>
    </row>
    <row r="32" spans="1:20" ht="47.25" customHeight="1" x14ac:dyDescent="0.3">
      <c r="A32" s="22"/>
      <c r="B32" s="116" t="s">
        <v>230</v>
      </c>
      <c r="C32" s="164" t="s">
        <v>129</v>
      </c>
      <c r="D32" s="165">
        <v>19.7</v>
      </c>
      <c r="E32" s="101">
        <v>19</v>
      </c>
      <c r="F32" s="101">
        <v>19</v>
      </c>
      <c r="G32" s="171">
        <v>20.2</v>
      </c>
      <c r="H32" s="205">
        <v>20.142857142857142</v>
      </c>
      <c r="I32" s="179">
        <v>19.899999999999999</v>
      </c>
      <c r="J32" s="179">
        <v>19.899999999999999</v>
      </c>
      <c r="K32" s="179">
        <f>I32</f>
        <v>19.899999999999999</v>
      </c>
      <c r="L32" s="179">
        <v>19.5</v>
      </c>
      <c r="M32" s="238">
        <v>19</v>
      </c>
      <c r="N32" s="238">
        <f>M32</f>
        <v>19</v>
      </c>
      <c r="O32" s="101">
        <f t="shared" si="0"/>
        <v>101.01522842639594</v>
      </c>
      <c r="P32" s="101">
        <f t="shared" si="1"/>
        <v>104.73684210526315</v>
      </c>
      <c r="Q32" s="101">
        <f t="shared" si="2"/>
        <v>100</v>
      </c>
      <c r="R32" s="205" t="s">
        <v>339</v>
      </c>
      <c r="S32" s="205" t="s">
        <v>339</v>
      </c>
      <c r="T32" s="95"/>
    </row>
    <row r="33" spans="1:20" ht="47.25" customHeight="1" x14ac:dyDescent="0.3">
      <c r="A33" s="22"/>
      <c r="B33" s="116" t="s">
        <v>231</v>
      </c>
      <c r="C33" s="164" t="s">
        <v>129</v>
      </c>
      <c r="D33" s="165">
        <v>25.7</v>
      </c>
      <c r="E33" s="166">
        <v>26.4</v>
      </c>
      <c r="F33" s="101">
        <v>26</v>
      </c>
      <c r="G33" s="171">
        <v>27.4</v>
      </c>
      <c r="H33" s="205">
        <v>27.142857142857142</v>
      </c>
      <c r="I33" s="179">
        <v>27.2</v>
      </c>
      <c r="J33" s="179">
        <v>27.1</v>
      </c>
      <c r="K33" s="179">
        <f t="shared" ref="K33" si="5">I33</f>
        <v>27.2</v>
      </c>
      <c r="L33" s="179">
        <v>27</v>
      </c>
      <c r="M33" s="238">
        <v>27</v>
      </c>
      <c r="N33" s="238">
        <f t="shared" ref="N33:N44" si="6">M33</f>
        <v>27</v>
      </c>
      <c r="O33" s="101">
        <f t="shared" si="0"/>
        <v>105.83657587548637</v>
      </c>
      <c r="P33" s="101">
        <f t="shared" si="1"/>
        <v>104.61538461538461</v>
      </c>
      <c r="Q33" s="101">
        <f t="shared" si="2"/>
        <v>103.84615384615384</v>
      </c>
      <c r="R33" s="205" t="s">
        <v>339</v>
      </c>
      <c r="S33" s="205" t="s">
        <v>339</v>
      </c>
      <c r="T33" s="95"/>
    </row>
    <row r="34" spans="1:20" ht="49.5" customHeight="1" x14ac:dyDescent="0.3">
      <c r="A34" s="22"/>
      <c r="B34" s="116" t="s">
        <v>232</v>
      </c>
      <c r="C34" s="164" t="s">
        <v>129</v>
      </c>
      <c r="D34" s="165">
        <v>54.6</v>
      </c>
      <c r="E34" s="166">
        <v>54.6</v>
      </c>
      <c r="F34" s="101">
        <v>55</v>
      </c>
      <c r="G34" s="171">
        <v>52.4</v>
      </c>
      <c r="H34" s="205">
        <v>53</v>
      </c>
      <c r="I34" s="179">
        <v>53</v>
      </c>
      <c r="J34" s="213">
        <v>53</v>
      </c>
      <c r="K34" s="179">
        <f>I34</f>
        <v>53</v>
      </c>
      <c r="L34" s="179">
        <v>53.5</v>
      </c>
      <c r="M34" s="238">
        <v>54</v>
      </c>
      <c r="N34" s="238">
        <f t="shared" si="6"/>
        <v>54</v>
      </c>
      <c r="O34" s="101">
        <f t="shared" si="0"/>
        <v>97.069597069597066</v>
      </c>
      <c r="P34" s="101">
        <f t="shared" si="1"/>
        <v>96.36363636363636</v>
      </c>
      <c r="Q34" s="101">
        <f t="shared" si="2"/>
        <v>98.181818181818173</v>
      </c>
      <c r="R34" s="205"/>
      <c r="S34" s="205"/>
      <c r="T34" s="95"/>
    </row>
    <row r="35" spans="1:20" s="301" customFormat="1" ht="49.5" customHeight="1" x14ac:dyDescent="0.3">
      <c r="A35" s="293">
        <v>3</v>
      </c>
      <c r="B35" s="294" t="s">
        <v>233</v>
      </c>
      <c r="C35" s="295" t="s">
        <v>188</v>
      </c>
      <c r="D35" s="296">
        <v>885</v>
      </c>
      <c r="E35" s="297">
        <v>600</v>
      </c>
      <c r="F35" s="297">
        <v>3000</v>
      </c>
      <c r="G35" s="297">
        <v>835</v>
      </c>
      <c r="H35" s="297">
        <v>920</v>
      </c>
      <c r="I35" s="297">
        <v>590</v>
      </c>
      <c r="J35" s="297">
        <v>950</v>
      </c>
      <c r="K35" s="297">
        <f>G35+H35+I35</f>
        <v>2345</v>
      </c>
      <c r="L35" s="297">
        <f>950</f>
        <v>950</v>
      </c>
      <c r="M35" s="297">
        <f>950</f>
        <v>950</v>
      </c>
      <c r="N35" s="298">
        <f>+G35+H35+J35+L35+M35</f>
        <v>4605</v>
      </c>
      <c r="O35" s="297">
        <f t="shared" si="0"/>
        <v>264.9717514124294</v>
      </c>
      <c r="P35" s="297">
        <f t="shared" si="1"/>
        <v>78.166666666666671</v>
      </c>
      <c r="Q35" s="297">
        <f t="shared" si="2"/>
        <v>153.5</v>
      </c>
      <c r="R35" s="299"/>
      <c r="S35" s="299" t="s">
        <v>339</v>
      </c>
      <c r="T35" s="300"/>
    </row>
    <row r="36" spans="1:20" s="301" customFormat="1" ht="49.5" customHeight="1" x14ac:dyDescent="0.3">
      <c r="A36" s="293"/>
      <c r="B36" s="294" t="s">
        <v>234</v>
      </c>
      <c r="C36" s="295" t="s">
        <v>44</v>
      </c>
      <c r="D36" s="296">
        <v>449</v>
      </c>
      <c r="E36" s="297">
        <v>310</v>
      </c>
      <c r="F36" s="297">
        <v>1545</v>
      </c>
      <c r="G36" s="297">
        <v>343</v>
      </c>
      <c r="H36" s="297">
        <v>267</v>
      </c>
      <c r="I36" s="297">
        <v>298</v>
      </c>
      <c r="J36" s="297">
        <v>490</v>
      </c>
      <c r="K36" s="297">
        <f>G36+H36+I36</f>
        <v>908</v>
      </c>
      <c r="L36" s="297">
        <f>485</f>
        <v>485</v>
      </c>
      <c r="M36" s="297">
        <f>475</f>
        <v>475</v>
      </c>
      <c r="N36" s="298">
        <f>+G36+H36+J36+L36+M36</f>
        <v>2060</v>
      </c>
      <c r="O36" s="297">
        <f>K36/D36%</f>
        <v>202.22717149220489</v>
      </c>
      <c r="P36" s="297">
        <f t="shared" si="1"/>
        <v>58.770226537216828</v>
      </c>
      <c r="Q36" s="297">
        <f t="shared" si="2"/>
        <v>133.33333333333334</v>
      </c>
      <c r="R36" s="299"/>
      <c r="S36" s="299" t="s">
        <v>339</v>
      </c>
      <c r="T36" s="300"/>
    </row>
    <row r="37" spans="1:20" ht="49.5" customHeight="1" x14ac:dyDescent="0.3">
      <c r="A37" s="22">
        <v>4</v>
      </c>
      <c r="B37" s="21" t="s">
        <v>235</v>
      </c>
      <c r="C37" s="164" t="s">
        <v>129</v>
      </c>
      <c r="D37" s="168">
        <v>1.36</v>
      </c>
      <c r="E37" s="166">
        <v>1.6</v>
      </c>
      <c r="F37" s="166">
        <v>1.6</v>
      </c>
      <c r="G37" s="167">
        <v>1.31</v>
      </c>
      <c r="H37" s="167">
        <v>1.28</v>
      </c>
      <c r="I37" s="170">
        <v>1.21</v>
      </c>
      <c r="J37" s="170">
        <v>1.21</v>
      </c>
      <c r="K37" s="170">
        <f>I37</f>
        <v>1.21</v>
      </c>
      <c r="L37" s="170">
        <v>1.1499999999999999</v>
      </c>
      <c r="M37" s="170">
        <v>1.1200000000000001</v>
      </c>
      <c r="N37" s="238">
        <f t="shared" si="6"/>
        <v>1.1200000000000001</v>
      </c>
      <c r="O37" s="101">
        <f t="shared" si="0"/>
        <v>88.970588235294102</v>
      </c>
      <c r="P37" s="101">
        <f t="shared" si="1"/>
        <v>75.625</v>
      </c>
      <c r="Q37" s="101">
        <f t="shared" si="2"/>
        <v>70</v>
      </c>
      <c r="R37" s="205"/>
      <c r="S37" s="205"/>
      <c r="T37" s="95"/>
    </row>
    <row r="38" spans="1:20" ht="49.5" customHeight="1" x14ac:dyDescent="0.3">
      <c r="A38" s="22"/>
      <c r="B38" s="163" t="s">
        <v>236</v>
      </c>
      <c r="C38" s="180" t="s">
        <v>33</v>
      </c>
      <c r="D38" s="168">
        <v>0.93</v>
      </c>
      <c r="E38" s="166">
        <v>1.4</v>
      </c>
      <c r="F38" s="166">
        <v>1.4</v>
      </c>
      <c r="G38" s="167">
        <v>0.92</v>
      </c>
      <c r="H38" s="167">
        <v>0.91</v>
      </c>
      <c r="I38" s="181">
        <v>0.9</v>
      </c>
      <c r="J38" s="181">
        <v>0.9</v>
      </c>
      <c r="K38" s="170">
        <f t="shared" ref="K38:K40" si="7">I38</f>
        <v>0.9</v>
      </c>
      <c r="L38" s="181">
        <v>0.8</v>
      </c>
      <c r="M38" s="181">
        <v>0.8</v>
      </c>
      <c r="N38" s="238">
        <f t="shared" si="6"/>
        <v>0.8</v>
      </c>
      <c r="O38" s="101">
        <f t="shared" si="0"/>
        <v>96.774193548387089</v>
      </c>
      <c r="P38" s="101">
        <f t="shared" si="1"/>
        <v>64.285714285714292</v>
      </c>
      <c r="Q38" s="101">
        <f t="shared" si="2"/>
        <v>57.142857142857153</v>
      </c>
      <c r="R38" s="205"/>
      <c r="S38" s="205"/>
      <c r="T38" s="95"/>
    </row>
    <row r="39" spans="1:20" ht="49.5" customHeight="1" x14ac:dyDescent="0.3">
      <c r="A39" s="22">
        <v>5</v>
      </c>
      <c r="B39" s="21" t="s">
        <v>237</v>
      </c>
      <c r="C39" s="164" t="s">
        <v>129</v>
      </c>
      <c r="D39" s="182">
        <v>16.100000000000001</v>
      </c>
      <c r="E39" s="182">
        <v>15</v>
      </c>
      <c r="F39" s="183">
        <v>15</v>
      </c>
      <c r="G39" s="182">
        <v>16.100000000000001</v>
      </c>
      <c r="H39" s="182">
        <v>16</v>
      </c>
      <c r="I39" s="170">
        <v>15.8</v>
      </c>
      <c r="J39" s="170">
        <v>15.6</v>
      </c>
      <c r="K39" s="170">
        <f t="shared" si="7"/>
        <v>15.8</v>
      </c>
      <c r="L39" s="170">
        <v>15.3</v>
      </c>
      <c r="M39" s="170">
        <v>15</v>
      </c>
      <c r="N39" s="238">
        <f>M39</f>
        <v>15</v>
      </c>
      <c r="O39" s="101">
        <f t="shared" si="0"/>
        <v>98.136645962732928</v>
      </c>
      <c r="P39" s="101">
        <f t="shared" si="1"/>
        <v>105.33333333333334</v>
      </c>
      <c r="Q39" s="101">
        <f t="shared" si="2"/>
        <v>100</v>
      </c>
      <c r="R39" s="205" t="s">
        <v>339</v>
      </c>
      <c r="S39" s="205" t="s">
        <v>339</v>
      </c>
      <c r="T39" s="95"/>
    </row>
    <row r="40" spans="1:20" ht="49.5" customHeight="1" x14ac:dyDescent="0.3">
      <c r="A40" s="184"/>
      <c r="B40" s="163" t="s">
        <v>238</v>
      </c>
      <c r="C40" s="180" t="s">
        <v>33</v>
      </c>
      <c r="D40" s="165">
        <v>16.899999999999999</v>
      </c>
      <c r="E40" s="101">
        <v>9</v>
      </c>
      <c r="F40" s="101">
        <v>9</v>
      </c>
      <c r="G40" s="162">
        <v>15</v>
      </c>
      <c r="H40" s="162">
        <v>14</v>
      </c>
      <c r="I40" s="100">
        <v>12</v>
      </c>
      <c r="J40" s="100">
        <v>12</v>
      </c>
      <c r="K40" s="170">
        <f t="shared" si="7"/>
        <v>12</v>
      </c>
      <c r="L40" s="100">
        <v>11</v>
      </c>
      <c r="M40" s="100">
        <v>9</v>
      </c>
      <c r="N40" s="238">
        <f t="shared" si="6"/>
        <v>9</v>
      </c>
      <c r="O40" s="101">
        <f t="shared" si="0"/>
        <v>71.005917159763314</v>
      </c>
      <c r="P40" s="101">
        <f t="shared" si="1"/>
        <v>133.33333333333334</v>
      </c>
      <c r="Q40" s="101">
        <f t="shared" si="2"/>
        <v>100</v>
      </c>
      <c r="R40" s="205" t="s">
        <v>339</v>
      </c>
      <c r="S40" s="205" t="s">
        <v>339</v>
      </c>
      <c r="T40" s="95"/>
    </row>
    <row r="41" spans="1:20" s="301" customFormat="1" ht="70.5" customHeight="1" x14ac:dyDescent="0.3">
      <c r="A41" s="293">
        <v>6</v>
      </c>
      <c r="B41" s="302" t="s">
        <v>239</v>
      </c>
      <c r="C41" s="303" t="s">
        <v>44</v>
      </c>
      <c r="D41" s="296">
        <v>305</v>
      </c>
      <c r="E41" s="297">
        <v>435</v>
      </c>
      <c r="F41" s="297">
        <v>2075</v>
      </c>
      <c r="G41" s="297">
        <v>415</v>
      </c>
      <c r="H41" s="297">
        <v>350</v>
      </c>
      <c r="I41" s="297">
        <v>250</v>
      </c>
      <c r="J41" s="305">
        <v>420</v>
      </c>
      <c r="K41" s="306">
        <f>G41+H41+I41</f>
        <v>1015</v>
      </c>
      <c r="L41" s="306">
        <f>420</f>
        <v>420</v>
      </c>
      <c r="M41" s="306">
        <f>435</f>
        <v>435</v>
      </c>
      <c r="N41" s="298">
        <f>+G41+H41+J41+L41+M41</f>
        <v>2040</v>
      </c>
      <c r="O41" s="297">
        <f t="shared" si="0"/>
        <v>332.78688524590166</v>
      </c>
      <c r="P41" s="297">
        <f t="shared" si="1"/>
        <v>48.915662650602407</v>
      </c>
      <c r="Q41" s="297">
        <f t="shared" si="2"/>
        <v>98.313253012048193</v>
      </c>
      <c r="R41" s="299"/>
      <c r="S41" s="299"/>
      <c r="T41" s="300"/>
    </row>
    <row r="42" spans="1:20" s="301" customFormat="1" ht="48" customHeight="1" x14ac:dyDescent="0.3">
      <c r="A42" s="293"/>
      <c r="B42" s="302" t="s">
        <v>240</v>
      </c>
      <c r="C42" s="303" t="s">
        <v>44</v>
      </c>
      <c r="D42" s="296">
        <v>210</v>
      </c>
      <c r="E42" s="297">
        <v>180</v>
      </c>
      <c r="F42" s="297">
        <v>900</v>
      </c>
      <c r="G42" s="297">
        <v>400</v>
      </c>
      <c r="H42" s="297">
        <v>350</v>
      </c>
      <c r="I42" s="297">
        <v>165</v>
      </c>
      <c r="J42" s="305">
        <v>250</v>
      </c>
      <c r="K42" s="306">
        <f>G42+H42+I42</f>
        <v>915</v>
      </c>
      <c r="L42" s="306">
        <f>250</f>
        <v>250</v>
      </c>
      <c r="M42" s="306">
        <f>250</f>
        <v>250</v>
      </c>
      <c r="N42" s="298">
        <f>+G42+H42+J42+L42+M42</f>
        <v>1500</v>
      </c>
      <c r="O42" s="297">
        <f t="shared" si="0"/>
        <v>435.71428571428572</v>
      </c>
      <c r="P42" s="297">
        <f t="shared" si="1"/>
        <v>101.66666666666667</v>
      </c>
      <c r="Q42" s="297">
        <f t="shared" si="2"/>
        <v>166.66666666666666</v>
      </c>
      <c r="R42" s="299" t="s">
        <v>339</v>
      </c>
      <c r="S42" s="299" t="s">
        <v>339</v>
      </c>
      <c r="T42" s="300"/>
    </row>
    <row r="43" spans="1:20" ht="71.25" customHeight="1" x14ac:dyDescent="0.3">
      <c r="A43" s="22">
        <v>7</v>
      </c>
      <c r="B43" s="21" t="s">
        <v>241</v>
      </c>
      <c r="C43" s="164" t="s">
        <v>129</v>
      </c>
      <c r="D43" s="182">
        <v>82.7</v>
      </c>
      <c r="E43" s="101">
        <v>85</v>
      </c>
      <c r="F43" s="101">
        <v>85</v>
      </c>
      <c r="G43" s="171">
        <v>84.2</v>
      </c>
      <c r="H43" s="171">
        <v>84.5</v>
      </c>
      <c r="I43" s="182">
        <v>84.5</v>
      </c>
      <c r="J43" s="182">
        <v>84.5</v>
      </c>
      <c r="K43" s="182">
        <f>I43</f>
        <v>84.5</v>
      </c>
      <c r="L43" s="182">
        <v>85</v>
      </c>
      <c r="M43" s="182">
        <v>85</v>
      </c>
      <c r="N43" s="238">
        <f>M43</f>
        <v>85</v>
      </c>
      <c r="O43" s="101">
        <f t="shared" si="0"/>
        <v>102.17654171704957</v>
      </c>
      <c r="P43" s="101">
        <f t="shared" si="1"/>
        <v>99.411764705882362</v>
      </c>
      <c r="Q43" s="101">
        <f t="shared" si="2"/>
        <v>100</v>
      </c>
      <c r="R43" s="205"/>
      <c r="S43" s="205" t="s">
        <v>339</v>
      </c>
      <c r="T43" s="95"/>
    </row>
    <row r="44" spans="1:20" ht="49.5" customHeight="1" x14ac:dyDescent="0.3">
      <c r="A44" s="184"/>
      <c r="B44" s="163" t="s">
        <v>242</v>
      </c>
      <c r="C44" s="180" t="s">
        <v>129</v>
      </c>
      <c r="D44" s="182">
        <v>45.6</v>
      </c>
      <c r="E44" s="166">
        <v>46.5</v>
      </c>
      <c r="F44" s="166">
        <v>46.5</v>
      </c>
      <c r="G44" s="182">
        <v>45.6</v>
      </c>
      <c r="H44" s="182">
        <v>45.8</v>
      </c>
      <c r="I44" s="182">
        <v>46</v>
      </c>
      <c r="J44" s="182">
        <v>46</v>
      </c>
      <c r="K44" s="182">
        <f>I44</f>
        <v>46</v>
      </c>
      <c r="L44" s="182">
        <v>46</v>
      </c>
      <c r="M44" s="182">
        <v>47</v>
      </c>
      <c r="N44" s="238">
        <f t="shared" si="6"/>
        <v>47</v>
      </c>
      <c r="O44" s="101">
        <f t="shared" si="0"/>
        <v>100.87719298245614</v>
      </c>
      <c r="P44" s="101">
        <f t="shared" si="1"/>
        <v>98.924731182795696</v>
      </c>
      <c r="Q44" s="101">
        <f t="shared" si="2"/>
        <v>101.07526881720429</v>
      </c>
      <c r="R44" s="205"/>
      <c r="S44" s="205" t="s">
        <v>339</v>
      </c>
      <c r="T44" s="95"/>
    </row>
    <row r="45" spans="1:20" ht="49.5" customHeight="1" x14ac:dyDescent="0.3">
      <c r="A45" s="89" t="s">
        <v>31</v>
      </c>
      <c r="B45" s="172" t="s">
        <v>243</v>
      </c>
      <c r="C45" s="177"/>
      <c r="D45" s="110"/>
      <c r="E45" s="101"/>
      <c r="F45" s="101"/>
      <c r="G45" s="162"/>
      <c r="H45" s="162"/>
      <c r="I45" s="95"/>
      <c r="J45" s="95"/>
      <c r="K45" s="95"/>
      <c r="L45" s="100"/>
      <c r="M45" s="100"/>
      <c r="N45" s="100"/>
      <c r="O45" s="101"/>
      <c r="P45" s="101"/>
      <c r="Q45" s="101"/>
      <c r="R45" s="205"/>
      <c r="S45" s="205"/>
      <c r="T45" s="95"/>
    </row>
    <row r="46" spans="1:20" ht="49.5" customHeight="1" x14ac:dyDescent="0.3">
      <c r="A46" s="89"/>
      <c r="B46" s="21" t="s">
        <v>244</v>
      </c>
      <c r="C46" s="161" t="s">
        <v>245</v>
      </c>
      <c r="D46" s="110">
        <v>12535</v>
      </c>
      <c r="E46" s="101">
        <v>13304</v>
      </c>
      <c r="F46" s="101">
        <v>13304</v>
      </c>
      <c r="G46" s="101">
        <v>12678</v>
      </c>
      <c r="H46" s="101">
        <v>12775</v>
      </c>
      <c r="I46" s="101">
        <v>12863</v>
      </c>
      <c r="J46" s="101">
        <v>12937</v>
      </c>
      <c r="K46" s="101">
        <f>I46</f>
        <v>12863</v>
      </c>
      <c r="L46" s="101">
        <v>13194</v>
      </c>
      <c r="M46" s="101">
        <v>13458</v>
      </c>
      <c r="N46" s="101">
        <f>M46</f>
        <v>13458</v>
      </c>
      <c r="O46" s="101">
        <f t="shared" si="0"/>
        <v>102.6166733147188</v>
      </c>
      <c r="P46" s="101">
        <f t="shared" si="1"/>
        <v>96.6852074564041</v>
      </c>
      <c r="Q46" s="101">
        <f t="shared" si="2"/>
        <v>101.15754660252556</v>
      </c>
      <c r="R46" s="205"/>
      <c r="S46" s="205" t="s">
        <v>339</v>
      </c>
      <c r="T46" s="95"/>
    </row>
    <row r="47" spans="1:20" ht="49.5" customHeight="1" x14ac:dyDescent="0.3">
      <c r="A47" s="89"/>
      <c r="B47" s="21" t="s">
        <v>246</v>
      </c>
      <c r="C47" s="161" t="s">
        <v>245</v>
      </c>
      <c r="D47" s="110">
        <v>165</v>
      </c>
      <c r="E47" s="101">
        <v>130</v>
      </c>
      <c r="F47" s="101">
        <v>130</v>
      </c>
      <c r="G47" s="162">
        <v>256</v>
      </c>
      <c r="H47" s="162">
        <v>235</v>
      </c>
      <c r="I47" s="99">
        <f t="shared" ref="I47" si="8">H47</f>
        <v>235</v>
      </c>
      <c r="J47" s="99">
        <v>217</v>
      </c>
      <c r="K47" s="99">
        <f>I47</f>
        <v>235</v>
      </c>
      <c r="L47" s="99">
        <f>J47-12</f>
        <v>205</v>
      </c>
      <c r="M47" s="99">
        <f>F47</f>
        <v>130</v>
      </c>
      <c r="N47" s="101">
        <f t="shared" ref="N47:N49" si="9">M47</f>
        <v>130</v>
      </c>
      <c r="O47" s="101">
        <f t="shared" si="0"/>
        <v>142.42424242424244</v>
      </c>
      <c r="P47" s="101">
        <f t="shared" si="1"/>
        <v>180.76923076923077</v>
      </c>
      <c r="Q47" s="101">
        <f t="shared" si="2"/>
        <v>100</v>
      </c>
      <c r="R47" s="205"/>
      <c r="S47" s="205" t="s">
        <v>339</v>
      </c>
      <c r="T47" s="95"/>
    </row>
    <row r="48" spans="1:20" ht="49.5" customHeight="1" x14ac:dyDescent="0.3">
      <c r="A48" s="89"/>
      <c r="B48" s="21" t="s">
        <v>247</v>
      </c>
      <c r="C48" s="161" t="s">
        <v>33</v>
      </c>
      <c r="D48" s="280">
        <v>1.32</v>
      </c>
      <c r="E48" s="280">
        <v>0.97714972940469036</v>
      </c>
      <c r="F48" s="280">
        <v>0.98299999999999998</v>
      </c>
      <c r="G48" s="167">
        <v>2.02</v>
      </c>
      <c r="H48" s="167">
        <v>1.84</v>
      </c>
      <c r="I48" s="185">
        <f>I47/I46%</f>
        <v>1.8269455026043693</v>
      </c>
      <c r="J48" s="185">
        <f>J47/J46%</f>
        <v>1.6773595114787043</v>
      </c>
      <c r="K48" s="372">
        <f t="shared" ref="K48:K49" si="10">I48</f>
        <v>1.8269455026043693</v>
      </c>
      <c r="L48" s="185">
        <f t="shared" ref="L48:M48" si="11">L47/L46%</f>
        <v>1.5537365469152646</v>
      </c>
      <c r="M48" s="185">
        <f t="shared" si="11"/>
        <v>0.96596819735473316</v>
      </c>
      <c r="N48" s="101">
        <f t="shared" si="9"/>
        <v>0.96596819735473316</v>
      </c>
      <c r="O48" s="101">
        <f t="shared" si="0"/>
        <v>138.40496231851282</v>
      </c>
      <c r="P48" s="101">
        <f t="shared" si="1"/>
        <v>185.85406944093279</v>
      </c>
      <c r="Q48" s="101">
        <f t="shared" si="2"/>
        <v>98.267364939443866</v>
      </c>
      <c r="R48" s="205"/>
      <c r="S48" s="205"/>
      <c r="T48" s="95"/>
    </row>
    <row r="49" spans="1:20" ht="49.5" customHeight="1" x14ac:dyDescent="0.3">
      <c r="A49" s="89"/>
      <c r="B49" s="21" t="s">
        <v>248</v>
      </c>
      <c r="C49" s="186" t="s">
        <v>129</v>
      </c>
      <c r="D49" s="280">
        <v>0.11</v>
      </c>
      <c r="E49" s="280">
        <v>0.1</v>
      </c>
      <c r="F49" s="280">
        <v>7.0000000000000007E-2</v>
      </c>
      <c r="G49" s="167">
        <v>-0.7</v>
      </c>
      <c r="H49" s="167">
        <v>0.18</v>
      </c>
      <c r="I49" s="185">
        <f>H48-I48</f>
        <v>1.3054497395630804E-2</v>
      </c>
      <c r="J49" s="185">
        <f>+H48-J48</f>
        <v>0.16264048852129576</v>
      </c>
      <c r="K49" s="372">
        <f t="shared" si="10"/>
        <v>1.3054497395630804E-2</v>
      </c>
      <c r="L49" s="185">
        <f>J48-L48</f>
        <v>0.12362296456343969</v>
      </c>
      <c r="M49" s="185">
        <f>L48-M48</f>
        <v>0.58776834956053148</v>
      </c>
      <c r="N49" s="101">
        <f t="shared" si="9"/>
        <v>0.58776834956053148</v>
      </c>
      <c r="O49" s="101">
        <f t="shared" si="0"/>
        <v>11.867724905118912</v>
      </c>
      <c r="P49" s="101">
        <f t="shared" si="1"/>
        <v>18.64928199375829</v>
      </c>
      <c r="Q49" s="101">
        <f t="shared" si="2"/>
        <v>839.66907080075919</v>
      </c>
      <c r="R49" s="205" t="s">
        <v>339</v>
      </c>
      <c r="S49" s="205" t="s">
        <v>339</v>
      </c>
      <c r="T49" s="95"/>
    </row>
    <row r="50" spans="1:20" ht="49.5" customHeight="1" x14ac:dyDescent="0.3">
      <c r="A50" s="89" t="s">
        <v>249</v>
      </c>
      <c r="B50" s="172" t="s">
        <v>250</v>
      </c>
      <c r="C50" s="177"/>
      <c r="D50" s="110"/>
      <c r="E50" s="101"/>
      <c r="F50" s="101"/>
      <c r="G50" s="162"/>
      <c r="H50" s="162"/>
      <c r="I50" s="95"/>
      <c r="J50" s="95"/>
      <c r="K50" s="95"/>
      <c r="L50" s="100"/>
      <c r="M50" s="100"/>
      <c r="N50" s="100"/>
      <c r="O50" s="101"/>
      <c r="P50" s="101"/>
      <c r="Q50" s="101"/>
      <c r="R50" s="205"/>
      <c r="S50" s="205"/>
      <c r="T50" s="95"/>
    </row>
    <row r="51" spans="1:20" ht="45" customHeight="1" x14ac:dyDescent="0.3">
      <c r="A51" s="22">
        <v>1</v>
      </c>
      <c r="B51" s="21" t="s">
        <v>251</v>
      </c>
      <c r="C51" s="161" t="s">
        <v>252</v>
      </c>
      <c r="D51" s="110"/>
      <c r="E51" s="101"/>
      <c r="F51" s="101"/>
      <c r="G51" s="162"/>
      <c r="H51" s="162"/>
      <c r="I51" s="95"/>
      <c r="J51" s="95"/>
      <c r="K51" s="95"/>
      <c r="L51" s="100"/>
      <c r="M51" s="100"/>
      <c r="N51" s="100"/>
      <c r="O51" s="101"/>
      <c r="P51" s="101"/>
      <c r="Q51" s="101"/>
      <c r="R51" s="205"/>
      <c r="S51" s="205"/>
      <c r="T51" s="95"/>
    </row>
    <row r="52" spans="1:20" ht="45" customHeight="1" x14ac:dyDescent="0.3">
      <c r="A52" s="22">
        <v>2</v>
      </c>
      <c r="B52" s="21" t="s">
        <v>253</v>
      </c>
      <c r="C52" s="161"/>
      <c r="D52" s="110"/>
      <c r="E52" s="101"/>
      <c r="F52" s="101"/>
      <c r="G52" s="162"/>
      <c r="H52" s="162"/>
      <c r="I52" s="95"/>
      <c r="J52" s="95"/>
      <c r="K52" s="95"/>
      <c r="L52" s="100"/>
      <c r="M52" s="100"/>
      <c r="N52" s="100"/>
      <c r="O52" s="101"/>
      <c r="P52" s="101"/>
      <c r="Q52" s="101"/>
      <c r="R52" s="205"/>
      <c r="S52" s="205"/>
      <c r="T52" s="95"/>
    </row>
    <row r="53" spans="1:20" ht="45" customHeight="1" x14ac:dyDescent="0.3">
      <c r="A53" s="89"/>
      <c r="B53" s="15" t="s">
        <v>254</v>
      </c>
      <c r="C53" s="161" t="s">
        <v>255</v>
      </c>
      <c r="D53" s="110"/>
      <c r="E53" s="101"/>
      <c r="F53" s="101"/>
      <c r="G53" s="162"/>
      <c r="H53" s="162"/>
      <c r="I53" s="95"/>
      <c r="J53" s="95"/>
      <c r="K53" s="95"/>
      <c r="L53" s="100"/>
      <c r="M53" s="100"/>
      <c r="N53" s="100"/>
      <c r="O53" s="101"/>
      <c r="P53" s="101"/>
      <c r="Q53" s="101"/>
      <c r="R53" s="205"/>
      <c r="S53" s="205"/>
      <c r="T53" s="95"/>
    </row>
    <row r="54" spans="1:20" ht="45" customHeight="1" x14ac:dyDescent="0.3">
      <c r="A54" s="89"/>
      <c r="B54" s="15" t="s">
        <v>256</v>
      </c>
      <c r="C54" s="161" t="s">
        <v>257</v>
      </c>
      <c r="D54" s="110"/>
      <c r="E54" s="101"/>
      <c r="F54" s="101"/>
      <c r="G54" s="162"/>
      <c r="H54" s="162"/>
      <c r="I54" s="95"/>
      <c r="J54" s="187"/>
      <c r="K54" s="187"/>
      <c r="L54" s="100"/>
      <c r="M54" s="100"/>
      <c r="N54" s="100"/>
      <c r="O54" s="101"/>
      <c r="P54" s="101"/>
      <c r="Q54" s="101"/>
      <c r="R54" s="205"/>
      <c r="S54" s="205"/>
      <c r="T54" s="95"/>
    </row>
    <row r="55" spans="1:20" ht="45" customHeight="1" x14ac:dyDescent="0.3">
      <c r="A55" s="22">
        <v>3</v>
      </c>
      <c r="B55" s="21" t="s">
        <v>258</v>
      </c>
      <c r="C55" s="161"/>
      <c r="D55" s="110">
        <v>75</v>
      </c>
      <c r="E55" s="101">
        <v>78</v>
      </c>
      <c r="F55" s="101">
        <v>78</v>
      </c>
      <c r="G55" s="162">
        <v>78</v>
      </c>
      <c r="H55" s="162">
        <v>81</v>
      </c>
      <c r="I55" s="100">
        <v>81</v>
      </c>
      <c r="J55" s="100">
        <v>82</v>
      </c>
      <c r="K55" s="100">
        <f>I55</f>
        <v>81</v>
      </c>
      <c r="L55" s="100">
        <v>82</v>
      </c>
      <c r="M55" s="100">
        <v>83</v>
      </c>
      <c r="N55" s="100">
        <f>M55</f>
        <v>83</v>
      </c>
      <c r="O55" s="101">
        <f>K55/D55%</f>
        <v>108</v>
      </c>
      <c r="P55" s="101">
        <f t="shared" si="1"/>
        <v>103.84615384615384</v>
      </c>
      <c r="Q55" s="101">
        <f t="shared" si="2"/>
        <v>106.41025641025641</v>
      </c>
      <c r="R55" s="205" t="s">
        <v>339</v>
      </c>
      <c r="S55" s="205" t="s">
        <v>339</v>
      </c>
      <c r="T55" s="95"/>
    </row>
    <row r="56" spans="1:20" ht="45" customHeight="1" x14ac:dyDescent="0.3">
      <c r="A56" s="89"/>
      <c r="B56" s="21" t="s">
        <v>259</v>
      </c>
      <c r="C56" s="161" t="s">
        <v>260</v>
      </c>
      <c r="D56" s="110"/>
      <c r="E56" s="101">
        <v>1</v>
      </c>
      <c r="F56" s="101">
        <v>1</v>
      </c>
      <c r="G56" s="162">
        <v>1</v>
      </c>
      <c r="H56" s="162">
        <v>1</v>
      </c>
      <c r="I56" s="100">
        <v>1</v>
      </c>
      <c r="J56" s="100">
        <v>1</v>
      </c>
      <c r="K56" s="100">
        <f t="shared" ref="K56:K58" si="12">I56</f>
        <v>1</v>
      </c>
      <c r="L56" s="100">
        <v>1</v>
      </c>
      <c r="M56" s="100">
        <v>1</v>
      </c>
      <c r="N56" s="100">
        <f t="shared" ref="N56:N69" si="13">M56</f>
        <v>1</v>
      </c>
      <c r="O56" s="101" t="e">
        <f t="shared" si="0"/>
        <v>#DIV/0!</v>
      </c>
      <c r="P56" s="101">
        <f t="shared" si="1"/>
        <v>100</v>
      </c>
      <c r="Q56" s="101">
        <f t="shared" si="2"/>
        <v>100</v>
      </c>
      <c r="R56" s="205" t="s">
        <v>339</v>
      </c>
      <c r="S56" s="205" t="s">
        <v>339</v>
      </c>
      <c r="T56" s="95"/>
    </row>
    <row r="57" spans="1:20" ht="45" customHeight="1" x14ac:dyDescent="0.3">
      <c r="A57" s="89"/>
      <c r="B57" s="21" t="s">
        <v>261</v>
      </c>
      <c r="C57" s="161" t="s">
        <v>260</v>
      </c>
      <c r="D57" s="110">
        <v>7</v>
      </c>
      <c r="E57" s="101">
        <v>7</v>
      </c>
      <c r="F57" s="101">
        <v>7</v>
      </c>
      <c r="G57" s="162">
        <v>7</v>
      </c>
      <c r="H57" s="162">
        <v>7</v>
      </c>
      <c r="I57" s="100">
        <v>7</v>
      </c>
      <c r="J57" s="100">
        <v>7</v>
      </c>
      <c r="K57" s="100">
        <f t="shared" si="12"/>
        <v>7</v>
      </c>
      <c r="L57" s="100">
        <v>7</v>
      </c>
      <c r="M57" s="100">
        <v>7</v>
      </c>
      <c r="N57" s="100">
        <f t="shared" si="13"/>
        <v>7</v>
      </c>
      <c r="O57" s="101">
        <f t="shared" si="0"/>
        <v>99.999999999999986</v>
      </c>
      <c r="P57" s="101">
        <f t="shared" si="1"/>
        <v>99.999999999999986</v>
      </c>
      <c r="Q57" s="101">
        <f t="shared" si="2"/>
        <v>99.999999999999986</v>
      </c>
      <c r="R57" s="205" t="s">
        <v>339</v>
      </c>
      <c r="S57" s="205" t="s">
        <v>339</v>
      </c>
      <c r="T57" s="95"/>
    </row>
    <row r="58" spans="1:20" ht="45" customHeight="1" x14ac:dyDescent="0.3">
      <c r="A58" s="89"/>
      <c r="B58" s="21" t="s">
        <v>262</v>
      </c>
      <c r="C58" s="161" t="s">
        <v>260</v>
      </c>
      <c r="D58" s="110">
        <v>68</v>
      </c>
      <c r="E58" s="101">
        <v>70</v>
      </c>
      <c r="F58" s="101">
        <v>70</v>
      </c>
      <c r="G58" s="162">
        <v>70</v>
      </c>
      <c r="H58" s="162">
        <v>73</v>
      </c>
      <c r="I58" s="100">
        <v>73</v>
      </c>
      <c r="J58" s="100">
        <v>74</v>
      </c>
      <c r="K58" s="100">
        <f t="shared" si="12"/>
        <v>73</v>
      </c>
      <c r="L58" s="100">
        <v>74</v>
      </c>
      <c r="M58" s="100">
        <v>75</v>
      </c>
      <c r="N58" s="100">
        <f t="shared" si="13"/>
        <v>75</v>
      </c>
      <c r="O58" s="101">
        <f t="shared" si="0"/>
        <v>107.35294117647058</v>
      </c>
      <c r="P58" s="101">
        <f t="shared" si="1"/>
        <v>104.28571428571429</v>
      </c>
      <c r="Q58" s="101">
        <f t="shared" si="2"/>
        <v>107.14285714285715</v>
      </c>
      <c r="R58" s="205" t="s">
        <v>339</v>
      </c>
      <c r="S58" s="205" t="s">
        <v>339</v>
      </c>
      <c r="T58" s="95"/>
    </row>
    <row r="59" spans="1:20" ht="45" customHeight="1" x14ac:dyDescent="0.3">
      <c r="A59" s="22">
        <v>4</v>
      </c>
      <c r="B59" s="170" t="s">
        <v>263</v>
      </c>
      <c r="C59" s="161" t="s">
        <v>264</v>
      </c>
      <c r="D59" s="110"/>
      <c r="E59" s="101"/>
      <c r="F59" s="101"/>
      <c r="G59" s="162"/>
      <c r="H59" s="162"/>
      <c r="I59" s="187"/>
      <c r="J59" s="95"/>
      <c r="K59" s="95"/>
      <c r="L59" s="100"/>
      <c r="M59" s="100"/>
      <c r="N59" s="100"/>
      <c r="O59" s="101"/>
      <c r="P59" s="101"/>
      <c r="Q59" s="101"/>
      <c r="R59" s="205"/>
      <c r="S59" s="205"/>
      <c r="T59" s="95"/>
    </row>
    <row r="60" spans="1:20" ht="45" customHeight="1" x14ac:dyDescent="0.3">
      <c r="A60" s="22">
        <v>5</v>
      </c>
      <c r="B60" s="21" t="s">
        <v>265</v>
      </c>
      <c r="C60" s="161" t="s">
        <v>266</v>
      </c>
      <c r="D60" s="110">
        <v>1</v>
      </c>
      <c r="E60" s="101">
        <v>1</v>
      </c>
      <c r="F60" s="101">
        <v>1</v>
      </c>
      <c r="G60" s="162">
        <v>1</v>
      </c>
      <c r="H60" s="162">
        <v>1</v>
      </c>
      <c r="I60" s="162">
        <v>1</v>
      </c>
      <c r="J60" s="162">
        <v>1</v>
      </c>
      <c r="K60" s="162">
        <f>J60</f>
        <v>1</v>
      </c>
      <c r="L60" s="162">
        <v>1</v>
      </c>
      <c r="M60" s="162">
        <v>1</v>
      </c>
      <c r="N60" s="100">
        <f t="shared" si="13"/>
        <v>1</v>
      </c>
      <c r="O60" s="101">
        <f t="shared" si="0"/>
        <v>100</v>
      </c>
      <c r="P60" s="101">
        <f t="shared" si="1"/>
        <v>100</v>
      </c>
      <c r="Q60" s="101">
        <f t="shared" si="2"/>
        <v>100</v>
      </c>
      <c r="R60" s="205" t="s">
        <v>339</v>
      </c>
      <c r="S60" s="205" t="s">
        <v>339</v>
      </c>
      <c r="T60" s="95"/>
    </row>
    <row r="61" spans="1:20" ht="45" customHeight="1" x14ac:dyDescent="0.3">
      <c r="A61" s="89"/>
      <c r="B61" s="21" t="s">
        <v>259</v>
      </c>
      <c r="C61" s="161" t="s">
        <v>266</v>
      </c>
      <c r="D61" s="110">
        <v>1</v>
      </c>
      <c r="E61" s="101">
        <v>1</v>
      </c>
      <c r="F61" s="101">
        <v>1</v>
      </c>
      <c r="G61" s="162">
        <v>1</v>
      </c>
      <c r="H61" s="162">
        <v>1</v>
      </c>
      <c r="I61" s="162">
        <v>1</v>
      </c>
      <c r="J61" s="162">
        <v>1</v>
      </c>
      <c r="K61" s="162">
        <f>J61</f>
        <v>1</v>
      </c>
      <c r="L61" s="162">
        <v>1</v>
      </c>
      <c r="M61" s="162">
        <v>1</v>
      </c>
      <c r="N61" s="100">
        <f t="shared" si="13"/>
        <v>1</v>
      </c>
      <c r="O61" s="101">
        <f t="shared" si="0"/>
        <v>100</v>
      </c>
      <c r="P61" s="101">
        <f t="shared" si="1"/>
        <v>100</v>
      </c>
      <c r="Q61" s="101">
        <f t="shared" si="2"/>
        <v>100</v>
      </c>
      <c r="R61" s="205" t="s">
        <v>339</v>
      </c>
      <c r="S61" s="205" t="s">
        <v>339</v>
      </c>
      <c r="T61" s="95"/>
    </row>
    <row r="62" spans="1:20" ht="49.5" customHeight="1" x14ac:dyDescent="0.3">
      <c r="A62" s="89"/>
      <c r="B62" s="21" t="s">
        <v>261</v>
      </c>
      <c r="C62" s="161" t="s">
        <v>266</v>
      </c>
      <c r="D62" s="110"/>
      <c r="E62" s="101"/>
      <c r="F62" s="101"/>
      <c r="G62" s="162"/>
      <c r="H62" s="162"/>
      <c r="I62" s="95"/>
      <c r="J62" s="95"/>
      <c r="K62" s="95"/>
      <c r="L62" s="100"/>
      <c r="M62" s="100"/>
      <c r="N62" s="100"/>
      <c r="O62" s="101"/>
      <c r="P62" s="101"/>
      <c r="Q62" s="101"/>
      <c r="R62" s="205"/>
      <c r="S62" s="205"/>
      <c r="T62" s="95"/>
    </row>
    <row r="63" spans="1:20" ht="61.5" customHeight="1" x14ac:dyDescent="0.3">
      <c r="A63" s="22">
        <v>6</v>
      </c>
      <c r="B63" s="170" t="s">
        <v>10</v>
      </c>
      <c r="C63" s="161" t="s">
        <v>33</v>
      </c>
      <c r="D63" s="165">
        <v>96.9</v>
      </c>
      <c r="E63" s="101">
        <v>96</v>
      </c>
      <c r="F63" s="101">
        <v>96</v>
      </c>
      <c r="G63" s="162">
        <v>96</v>
      </c>
      <c r="H63" s="162">
        <v>96</v>
      </c>
      <c r="I63" s="100">
        <v>96.3</v>
      </c>
      <c r="J63" s="100">
        <v>96.3</v>
      </c>
      <c r="K63" s="100">
        <f>I63</f>
        <v>96.3</v>
      </c>
      <c r="L63" s="100">
        <v>96.3</v>
      </c>
      <c r="M63" s="100">
        <v>96.3</v>
      </c>
      <c r="N63" s="100">
        <f t="shared" si="13"/>
        <v>96.3</v>
      </c>
      <c r="O63" s="101">
        <f t="shared" si="0"/>
        <v>99.380804953560357</v>
      </c>
      <c r="P63" s="101">
        <f t="shared" si="1"/>
        <v>100.3125</v>
      </c>
      <c r="Q63" s="101">
        <f t="shared" si="2"/>
        <v>100.3125</v>
      </c>
      <c r="R63" s="205" t="s">
        <v>339</v>
      </c>
      <c r="S63" s="205" t="s">
        <v>339</v>
      </c>
      <c r="T63" s="95"/>
    </row>
    <row r="64" spans="1:20" ht="61.5" customHeight="1" x14ac:dyDescent="0.3">
      <c r="A64" s="22">
        <v>7</v>
      </c>
      <c r="B64" s="170" t="s">
        <v>267</v>
      </c>
      <c r="C64" s="161" t="s">
        <v>33</v>
      </c>
      <c r="D64" s="165">
        <v>97.1</v>
      </c>
      <c r="E64" s="101">
        <v>96</v>
      </c>
      <c r="F64" s="101">
        <v>96</v>
      </c>
      <c r="G64" s="171">
        <v>98.6</v>
      </c>
      <c r="H64" s="171">
        <v>98.6</v>
      </c>
      <c r="I64" s="171">
        <v>98.6</v>
      </c>
      <c r="J64" s="171">
        <v>98.6</v>
      </c>
      <c r="K64" s="100">
        <f t="shared" ref="K64:K65" si="14">I64</f>
        <v>98.6</v>
      </c>
      <c r="L64" s="171">
        <v>98.6</v>
      </c>
      <c r="M64" s="171">
        <v>98.6</v>
      </c>
      <c r="N64" s="100">
        <f t="shared" si="13"/>
        <v>98.6</v>
      </c>
      <c r="O64" s="101">
        <f t="shared" si="0"/>
        <v>101.54479917610711</v>
      </c>
      <c r="P64" s="101">
        <f t="shared" si="1"/>
        <v>102.70833333333333</v>
      </c>
      <c r="Q64" s="101">
        <f t="shared" si="2"/>
        <v>102.70833333333333</v>
      </c>
      <c r="R64" s="205" t="s">
        <v>339</v>
      </c>
      <c r="S64" s="205" t="s">
        <v>339</v>
      </c>
      <c r="T64" s="95"/>
    </row>
    <row r="65" spans="1:20" ht="65.25" customHeight="1" x14ac:dyDescent="0.3">
      <c r="A65" s="22">
        <v>8</v>
      </c>
      <c r="B65" s="170" t="s">
        <v>12</v>
      </c>
      <c r="C65" s="161" t="s">
        <v>33</v>
      </c>
      <c r="D65" s="165">
        <v>98.2</v>
      </c>
      <c r="E65" s="101">
        <v>98</v>
      </c>
      <c r="F65" s="101">
        <v>98</v>
      </c>
      <c r="G65" s="171">
        <v>98.1</v>
      </c>
      <c r="H65" s="171">
        <v>98.1</v>
      </c>
      <c r="I65" s="171">
        <v>98.1</v>
      </c>
      <c r="J65" s="171">
        <v>98.1</v>
      </c>
      <c r="K65" s="100">
        <f t="shared" si="14"/>
        <v>98.1</v>
      </c>
      <c r="L65" s="171">
        <v>98.1</v>
      </c>
      <c r="M65" s="171">
        <v>98.1</v>
      </c>
      <c r="N65" s="100">
        <f t="shared" si="13"/>
        <v>98.1</v>
      </c>
      <c r="O65" s="101">
        <f t="shared" si="0"/>
        <v>99.898167006109972</v>
      </c>
      <c r="P65" s="101">
        <f t="shared" si="1"/>
        <v>100.10204081632652</v>
      </c>
      <c r="Q65" s="101">
        <f t="shared" si="2"/>
        <v>100.10204081632652</v>
      </c>
      <c r="R65" s="205" t="s">
        <v>339</v>
      </c>
      <c r="S65" s="205" t="s">
        <v>339</v>
      </c>
      <c r="T65" s="95"/>
    </row>
    <row r="66" spans="1:20" ht="58.5" customHeight="1" x14ac:dyDescent="0.3">
      <c r="A66" s="22">
        <v>9</v>
      </c>
      <c r="B66" s="170" t="s">
        <v>268</v>
      </c>
      <c r="C66" s="161" t="s">
        <v>33</v>
      </c>
      <c r="D66" s="110"/>
      <c r="E66" s="101"/>
      <c r="F66" s="101"/>
      <c r="G66" s="162"/>
      <c r="H66" s="162"/>
      <c r="I66" s="95"/>
      <c r="J66" s="95"/>
      <c r="K66" s="95"/>
      <c r="L66" s="100"/>
      <c r="M66" s="100"/>
      <c r="N66" s="100"/>
      <c r="O66" s="101"/>
      <c r="P66" s="101"/>
      <c r="Q66" s="101"/>
      <c r="R66" s="205"/>
      <c r="S66" s="205"/>
      <c r="T66" s="95"/>
    </row>
    <row r="67" spans="1:20" ht="63" customHeight="1" x14ac:dyDescent="0.3">
      <c r="A67" s="22">
        <v>10</v>
      </c>
      <c r="B67" s="21" t="s">
        <v>269</v>
      </c>
      <c r="C67" s="161" t="s">
        <v>33</v>
      </c>
      <c r="D67" s="110">
        <v>70</v>
      </c>
      <c r="E67" s="101">
        <v>80.152671755725194</v>
      </c>
      <c r="F67" s="101">
        <v>80</v>
      </c>
      <c r="G67" s="171">
        <v>57.3</v>
      </c>
      <c r="H67" s="171">
        <v>67.900000000000006</v>
      </c>
      <c r="I67" s="100">
        <v>71.8</v>
      </c>
      <c r="J67" s="100">
        <v>71.8</v>
      </c>
      <c r="K67" s="100">
        <f>I67</f>
        <v>71.8</v>
      </c>
      <c r="L67" s="100">
        <v>77</v>
      </c>
      <c r="M67" s="100">
        <v>80</v>
      </c>
      <c r="N67" s="100">
        <f t="shared" si="13"/>
        <v>80</v>
      </c>
      <c r="O67" s="101">
        <f t="shared" si="0"/>
        <v>102.57142857142857</v>
      </c>
      <c r="P67" s="101">
        <f t="shared" si="1"/>
        <v>89.749999999999986</v>
      </c>
      <c r="Q67" s="101">
        <f t="shared" si="2"/>
        <v>100</v>
      </c>
      <c r="R67" s="205"/>
      <c r="S67" s="205" t="s">
        <v>339</v>
      </c>
      <c r="T67" s="95"/>
    </row>
    <row r="68" spans="1:20" ht="96" customHeight="1" x14ac:dyDescent="0.3">
      <c r="A68" s="22">
        <v>11</v>
      </c>
      <c r="B68" s="21" t="s">
        <v>270</v>
      </c>
      <c r="C68" s="161" t="s">
        <v>271</v>
      </c>
      <c r="D68" s="110">
        <v>2</v>
      </c>
      <c r="E68" s="101">
        <v>4</v>
      </c>
      <c r="F68" s="101">
        <v>4</v>
      </c>
      <c r="G68" s="162">
        <v>2</v>
      </c>
      <c r="H68" s="162">
        <v>2</v>
      </c>
      <c r="I68" s="100"/>
      <c r="J68" s="100"/>
      <c r="K68" s="100"/>
      <c r="L68" s="100">
        <v>4</v>
      </c>
      <c r="M68" s="100">
        <v>4</v>
      </c>
      <c r="N68" s="100">
        <f t="shared" si="13"/>
        <v>4</v>
      </c>
      <c r="O68" s="101">
        <f t="shared" si="0"/>
        <v>0</v>
      </c>
      <c r="P68" s="101">
        <f t="shared" si="1"/>
        <v>0</v>
      </c>
      <c r="Q68" s="101">
        <f t="shared" si="2"/>
        <v>100</v>
      </c>
      <c r="R68" s="205"/>
      <c r="S68" s="205" t="s">
        <v>339</v>
      </c>
      <c r="T68" s="237" t="s">
        <v>327</v>
      </c>
    </row>
    <row r="69" spans="1:20" ht="48" customHeight="1" x14ac:dyDescent="0.3">
      <c r="A69" s="22"/>
      <c r="B69" s="21" t="s">
        <v>272</v>
      </c>
      <c r="C69" s="161" t="s">
        <v>271</v>
      </c>
      <c r="D69" s="110"/>
      <c r="E69" s="101"/>
      <c r="F69" s="101"/>
      <c r="G69" s="162"/>
      <c r="H69" s="162"/>
      <c r="I69" s="95"/>
      <c r="J69" s="99"/>
      <c r="K69" s="99"/>
      <c r="L69" s="100">
        <v>4</v>
      </c>
      <c r="M69" s="100">
        <v>4</v>
      </c>
      <c r="N69" s="100">
        <f t="shared" si="13"/>
        <v>4</v>
      </c>
      <c r="O69" s="101"/>
      <c r="P69" s="101"/>
      <c r="Q69" s="101"/>
      <c r="R69" s="205"/>
      <c r="S69" s="205"/>
      <c r="T69" s="95"/>
    </row>
    <row r="70" spans="1:20" ht="80.25" customHeight="1" x14ac:dyDescent="0.3">
      <c r="A70" s="22">
        <v>12</v>
      </c>
      <c r="B70" s="21" t="s">
        <v>40</v>
      </c>
      <c r="C70" s="161" t="s">
        <v>43</v>
      </c>
      <c r="D70" s="110">
        <v>1</v>
      </c>
      <c r="E70" s="101">
        <v>2</v>
      </c>
      <c r="F70" s="101">
        <v>2</v>
      </c>
      <c r="G70" s="162"/>
      <c r="H70" s="162"/>
      <c r="I70" s="100"/>
      <c r="J70" s="100"/>
      <c r="K70" s="100"/>
      <c r="L70" s="100"/>
      <c r="M70" s="100"/>
      <c r="N70" s="100"/>
      <c r="O70" s="101">
        <f t="shared" si="0"/>
        <v>0</v>
      </c>
      <c r="P70" s="101">
        <f t="shared" si="1"/>
        <v>0</v>
      </c>
      <c r="Q70" s="101">
        <f t="shared" si="2"/>
        <v>0</v>
      </c>
      <c r="R70" s="205"/>
      <c r="S70" s="205"/>
      <c r="T70" s="237" t="s">
        <v>328</v>
      </c>
    </row>
    <row r="71" spans="1:20" ht="48" customHeight="1" x14ac:dyDescent="0.3">
      <c r="A71" s="22"/>
      <c r="B71" s="21" t="s">
        <v>272</v>
      </c>
      <c r="C71" s="161" t="s">
        <v>43</v>
      </c>
      <c r="D71" s="110"/>
      <c r="E71" s="101"/>
      <c r="F71" s="101"/>
      <c r="G71" s="162"/>
      <c r="H71" s="162"/>
      <c r="I71" s="95"/>
      <c r="J71" s="95"/>
      <c r="K71" s="95"/>
      <c r="L71" s="100"/>
      <c r="M71" s="100"/>
      <c r="N71" s="100"/>
      <c r="O71" s="101"/>
      <c r="P71" s="101"/>
      <c r="Q71" s="101"/>
      <c r="R71" s="205"/>
      <c r="S71" s="205"/>
      <c r="T71" s="95"/>
    </row>
    <row r="72" spans="1:20" ht="57.75" customHeight="1" x14ac:dyDescent="0.3">
      <c r="A72" s="89" t="s">
        <v>273</v>
      </c>
      <c r="B72" s="172" t="s">
        <v>274</v>
      </c>
      <c r="C72" s="177"/>
      <c r="D72" s="110"/>
      <c r="E72" s="101"/>
      <c r="F72" s="101"/>
      <c r="G72" s="162"/>
      <c r="H72" s="162"/>
      <c r="I72" s="95"/>
      <c r="J72" s="95"/>
      <c r="K72" s="95"/>
      <c r="L72" s="100"/>
      <c r="M72" s="100"/>
      <c r="N72" s="100"/>
      <c r="O72" s="101"/>
      <c r="P72" s="101"/>
      <c r="Q72" s="101"/>
      <c r="R72" s="205"/>
      <c r="S72" s="205"/>
      <c r="T72" s="95"/>
    </row>
    <row r="73" spans="1:20" ht="57.75" customHeight="1" x14ac:dyDescent="0.3">
      <c r="A73" s="22">
        <v>1</v>
      </c>
      <c r="B73" s="170" t="s">
        <v>306</v>
      </c>
      <c r="C73" s="161" t="s">
        <v>44</v>
      </c>
      <c r="D73" s="188">
        <v>9907</v>
      </c>
      <c r="E73" s="101">
        <v>5476.2407838720001</v>
      </c>
      <c r="F73" s="101">
        <v>5476</v>
      </c>
      <c r="G73" s="189">
        <v>10387</v>
      </c>
      <c r="H73" s="189">
        <v>10610</v>
      </c>
      <c r="I73" s="189">
        <v>10832</v>
      </c>
      <c r="J73" s="189">
        <v>11074</v>
      </c>
      <c r="K73" s="189">
        <f>I73</f>
        <v>10832</v>
      </c>
      <c r="L73" s="189">
        <v>10900</v>
      </c>
      <c r="M73" s="189">
        <v>11000</v>
      </c>
      <c r="N73" s="189">
        <f>M73</f>
        <v>11000</v>
      </c>
      <c r="O73" s="101">
        <f t="shared" ref="O73:O76" si="15">K73/D73%</f>
        <v>109.33683254264662</v>
      </c>
      <c r="P73" s="101">
        <f t="shared" ref="P73:P76" si="16">K73/F73%</f>
        <v>197.80861943024107</v>
      </c>
      <c r="Q73" s="101">
        <f t="shared" ref="Q73:Q76" si="17">N73/F73%</f>
        <v>200.87655222790357</v>
      </c>
      <c r="R73" s="205"/>
      <c r="S73" s="205"/>
      <c r="T73" s="95"/>
    </row>
    <row r="74" spans="1:20" ht="57.75" customHeight="1" x14ac:dyDescent="0.3">
      <c r="A74" s="22">
        <v>2</v>
      </c>
      <c r="B74" s="170" t="s">
        <v>307</v>
      </c>
      <c r="C74" s="161" t="s">
        <v>44</v>
      </c>
      <c r="D74" s="188">
        <v>7909</v>
      </c>
      <c r="E74" s="101">
        <v>4327.9967485440011</v>
      </c>
      <c r="F74" s="101">
        <v>4328</v>
      </c>
      <c r="G74" s="189">
        <v>8325</v>
      </c>
      <c r="H74" s="189">
        <v>8517</v>
      </c>
      <c r="I74" s="189">
        <v>8767</v>
      </c>
      <c r="J74" s="189">
        <v>9697</v>
      </c>
      <c r="K74" s="189">
        <f t="shared" ref="K74:K77" si="18">I74</f>
        <v>8767</v>
      </c>
      <c r="L74" s="189">
        <v>8800</v>
      </c>
      <c r="M74" s="189">
        <v>8900</v>
      </c>
      <c r="N74" s="189">
        <f>M74</f>
        <v>8900</v>
      </c>
      <c r="O74" s="101">
        <f t="shared" si="15"/>
        <v>110.84840055632823</v>
      </c>
      <c r="P74" s="101">
        <f t="shared" si="16"/>
        <v>202.56469500924214</v>
      </c>
      <c r="Q74" s="101">
        <f t="shared" si="17"/>
        <v>205.63770794824399</v>
      </c>
      <c r="R74" s="205"/>
      <c r="S74" s="205"/>
      <c r="T74" s="95"/>
    </row>
    <row r="75" spans="1:20" ht="57.75" customHeight="1" x14ac:dyDescent="0.3">
      <c r="A75" s="89" t="s">
        <v>275</v>
      </c>
      <c r="B75" s="11" t="s">
        <v>276</v>
      </c>
      <c r="C75" s="177"/>
      <c r="D75" s="110"/>
      <c r="E75" s="101"/>
      <c r="F75" s="101"/>
      <c r="G75" s="162"/>
      <c r="H75" s="162"/>
      <c r="I75" s="95"/>
      <c r="J75" s="95"/>
      <c r="K75" s="189"/>
      <c r="L75" s="100"/>
      <c r="M75" s="100"/>
      <c r="N75" s="100"/>
      <c r="O75" s="101"/>
      <c r="P75" s="101"/>
      <c r="Q75" s="101"/>
      <c r="R75" s="205"/>
      <c r="S75" s="205"/>
      <c r="T75" s="95"/>
    </row>
    <row r="76" spans="1:20" ht="57.75" customHeight="1" x14ac:dyDescent="0.3">
      <c r="A76" s="22">
        <v>1</v>
      </c>
      <c r="B76" s="21" t="s">
        <v>277</v>
      </c>
      <c r="C76" s="161" t="s">
        <v>33</v>
      </c>
      <c r="D76" s="110">
        <v>100</v>
      </c>
      <c r="E76" s="101">
        <v>100</v>
      </c>
      <c r="F76" s="101">
        <v>100</v>
      </c>
      <c r="G76" s="162">
        <v>100</v>
      </c>
      <c r="H76" s="171">
        <v>71.400000000000006</v>
      </c>
      <c r="I76" s="182">
        <v>100</v>
      </c>
      <c r="J76" s="182">
        <v>100</v>
      </c>
      <c r="K76" s="189">
        <f t="shared" si="18"/>
        <v>100</v>
      </c>
      <c r="L76" s="182">
        <f t="shared" ref="L76" si="19">I76/E76%</f>
        <v>100</v>
      </c>
      <c r="M76" s="182">
        <f t="shared" ref="M76:M77" si="20">I76/F76%</f>
        <v>100</v>
      </c>
      <c r="N76" s="182">
        <f>M76</f>
        <v>100</v>
      </c>
      <c r="O76" s="101">
        <f t="shared" si="15"/>
        <v>100</v>
      </c>
      <c r="P76" s="101">
        <f t="shared" si="16"/>
        <v>100</v>
      </c>
      <c r="Q76" s="101">
        <f t="shared" si="17"/>
        <v>100</v>
      </c>
      <c r="R76" s="205"/>
      <c r="S76" s="205"/>
      <c r="T76" s="95"/>
    </row>
    <row r="77" spans="1:20" ht="57.75" customHeight="1" x14ac:dyDescent="0.3">
      <c r="A77" s="22">
        <v>2</v>
      </c>
      <c r="B77" s="21" t="s">
        <v>278</v>
      </c>
      <c r="C77" s="161" t="s">
        <v>33</v>
      </c>
      <c r="D77" s="110">
        <v>99</v>
      </c>
      <c r="E77" s="101">
        <v>100</v>
      </c>
      <c r="F77" s="101">
        <v>100</v>
      </c>
      <c r="G77" s="162">
        <v>100</v>
      </c>
      <c r="H77" s="162">
        <v>100</v>
      </c>
      <c r="I77" s="182">
        <v>100</v>
      </c>
      <c r="J77" s="182">
        <v>100</v>
      </c>
      <c r="K77" s="189">
        <f t="shared" si="18"/>
        <v>100</v>
      </c>
      <c r="L77" s="190">
        <v>100</v>
      </c>
      <c r="M77" s="182">
        <f t="shared" si="20"/>
        <v>100</v>
      </c>
      <c r="N77" s="182">
        <f>M77</f>
        <v>100</v>
      </c>
      <c r="O77" s="101">
        <f>K77/D77%</f>
        <v>101.01010101010101</v>
      </c>
      <c r="P77" s="101">
        <f>K77/F77%</f>
        <v>100</v>
      </c>
      <c r="Q77" s="101">
        <f>N77/F77%</f>
        <v>100</v>
      </c>
      <c r="R77" s="205"/>
      <c r="S77" s="205"/>
      <c r="T77" s="95"/>
    </row>
  </sheetData>
  <mergeCells count="19">
    <mergeCell ref="T5:T6"/>
    <mergeCell ref="A3:T3"/>
    <mergeCell ref="N5:N6"/>
    <mergeCell ref="A2:T2"/>
    <mergeCell ref="P1:T1"/>
    <mergeCell ref="A5:A6"/>
    <mergeCell ref="B5:B6"/>
    <mergeCell ref="C5:C6"/>
    <mergeCell ref="D5:D6"/>
    <mergeCell ref="E5:E6"/>
    <mergeCell ref="G5:G6"/>
    <mergeCell ref="H5:H6"/>
    <mergeCell ref="I5:J5"/>
    <mergeCell ref="L5:L6"/>
    <mergeCell ref="M5:M6"/>
    <mergeCell ref="F5:F6"/>
    <mergeCell ref="K5:K6"/>
    <mergeCell ref="R5:S5"/>
    <mergeCell ref="O5:Q5"/>
  </mergeCells>
  <pageMargins left="0.45" right="0.45" top="0.5" bottom="0.5" header="0.3" footer="0.3"/>
  <pageSetup paperSize="9" scale="55" orientation="landscape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15"/>
  <sheetViews>
    <sheetView tabSelected="1" zoomScale="85" zoomScaleNormal="85" workbookViewId="0">
      <selection activeCell="J9" sqref="J9"/>
    </sheetView>
  </sheetViews>
  <sheetFormatPr defaultColWidth="9.140625" defaultRowHeight="18.75" x14ac:dyDescent="0.3"/>
  <cols>
    <col min="1" max="1" width="9.140625" style="1"/>
    <col min="2" max="2" width="38.42578125" style="52" customWidth="1"/>
    <col min="3" max="3" width="11.42578125" style="1" customWidth="1"/>
    <col min="4" max="4" width="14.85546875" style="1" customWidth="1"/>
    <col min="5" max="5" width="14.85546875" style="1" hidden="1" customWidth="1"/>
    <col min="6" max="8" width="14.85546875" style="1" customWidth="1"/>
    <col min="9" max="14" width="13.85546875" style="1" customWidth="1"/>
    <col min="15" max="17" width="15.5703125" style="1" customWidth="1"/>
    <col min="18" max="19" width="13.5703125" style="1" hidden="1" customWidth="1"/>
    <col min="20" max="20" width="13.7109375" style="1" customWidth="1"/>
    <col min="21" max="16384" width="9.140625" style="1"/>
  </cols>
  <sheetData>
    <row r="1" spans="1:20" ht="19.5" x14ac:dyDescent="0.35">
      <c r="A1" s="23"/>
      <c r="I1" s="25"/>
      <c r="J1" s="25"/>
      <c r="K1" s="25"/>
      <c r="P1" s="402" t="s">
        <v>318</v>
      </c>
      <c r="Q1" s="402"/>
      <c r="R1" s="402"/>
      <c r="S1" s="402"/>
      <c r="T1" s="402"/>
    </row>
    <row r="2" spans="1:20" ht="35.25" customHeight="1" x14ac:dyDescent="0.3">
      <c r="A2" s="394" t="s">
        <v>347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</row>
    <row r="3" spans="1:20" x14ac:dyDescent="0.3">
      <c r="A3" s="393" t="str">
        <f>'1. CTCY'!A3:T3</f>
        <v>(Kèm theo báo cáo số:                 /BC-UBND ngày               tháng              năm 2023 của UBND thành phố Lai Châu)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</row>
    <row r="4" spans="1:20" x14ac:dyDescent="0.3">
      <c r="A4" s="23"/>
    </row>
    <row r="5" spans="1:20" s="53" customFormat="1" ht="39.75" customHeight="1" x14ac:dyDescent="0.25">
      <c r="A5" s="377" t="s">
        <v>313</v>
      </c>
      <c r="B5" s="377" t="s">
        <v>312</v>
      </c>
      <c r="C5" s="377" t="s">
        <v>311</v>
      </c>
      <c r="D5" s="377" t="s">
        <v>315</v>
      </c>
      <c r="E5" s="377" t="s">
        <v>321</v>
      </c>
      <c r="F5" s="377" t="s">
        <v>320</v>
      </c>
      <c r="G5" s="377" t="s">
        <v>310</v>
      </c>
      <c r="H5" s="377" t="s">
        <v>309</v>
      </c>
      <c r="I5" s="395" t="s">
        <v>343</v>
      </c>
      <c r="J5" s="395"/>
      <c r="K5" s="377" t="s">
        <v>356</v>
      </c>
      <c r="L5" s="377" t="s">
        <v>352</v>
      </c>
      <c r="M5" s="377" t="s">
        <v>353</v>
      </c>
      <c r="N5" s="377" t="s">
        <v>349</v>
      </c>
      <c r="O5" s="388" t="s">
        <v>308</v>
      </c>
      <c r="P5" s="389"/>
      <c r="Q5" s="390"/>
      <c r="R5" s="392" t="s">
        <v>336</v>
      </c>
      <c r="S5" s="392"/>
      <c r="T5" s="377" t="s">
        <v>314</v>
      </c>
    </row>
    <row r="6" spans="1:20" s="53" customFormat="1" ht="138.75" customHeight="1" x14ac:dyDescent="0.25">
      <c r="A6" s="378"/>
      <c r="B6" s="378"/>
      <c r="C6" s="378"/>
      <c r="D6" s="378"/>
      <c r="E6" s="378"/>
      <c r="F6" s="378"/>
      <c r="G6" s="378"/>
      <c r="H6" s="378"/>
      <c r="I6" s="3" t="s">
        <v>346</v>
      </c>
      <c r="J6" s="3" t="s">
        <v>345</v>
      </c>
      <c r="K6" s="378"/>
      <c r="L6" s="378"/>
      <c r="M6" s="378"/>
      <c r="N6" s="378"/>
      <c r="O6" s="260" t="s">
        <v>354</v>
      </c>
      <c r="P6" s="260" t="s">
        <v>357</v>
      </c>
      <c r="Q6" s="260" t="s">
        <v>358</v>
      </c>
      <c r="R6" s="135" t="s">
        <v>337</v>
      </c>
      <c r="S6" s="135" t="s">
        <v>338</v>
      </c>
      <c r="T6" s="378"/>
    </row>
    <row r="7" spans="1:20" s="88" customFormat="1" ht="25.5" customHeight="1" x14ac:dyDescent="0.25">
      <c r="A7" s="94">
        <v>1</v>
      </c>
      <c r="B7" s="94">
        <v>2</v>
      </c>
      <c r="C7" s="94">
        <v>3</v>
      </c>
      <c r="D7" s="94">
        <v>4</v>
      </c>
      <c r="E7" s="94"/>
      <c r="F7" s="94">
        <v>5</v>
      </c>
      <c r="G7" s="94">
        <v>6</v>
      </c>
      <c r="H7" s="94">
        <v>7</v>
      </c>
      <c r="I7" s="9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145" t="s">
        <v>359</v>
      </c>
      <c r="P7" s="145" t="s">
        <v>360</v>
      </c>
      <c r="Q7" s="145" t="s">
        <v>355</v>
      </c>
      <c r="R7" s="4">
        <v>17</v>
      </c>
      <c r="S7" s="94">
        <v>18</v>
      </c>
      <c r="T7" s="94">
        <v>19</v>
      </c>
    </row>
    <row r="8" spans="1:20" s="53" customFormat="1" ht="43.5" customHeight="1" x14ac:dyDescent="0.25">
      <c r="A8" s="90"/>
      <c r="B8" s="90" t="s">
        <v>366</v>
      </c>
      <c r="C8" s="91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87"/>
      <c r="P8" s="87"/>
      <c r="Q8" s="87"/>
      <c r="R8" s="87"/>
      <c r="S8" s="87"/>
      <c r="T8" s="14"/>
    </row>
    <row r="9" spans="1:20" s="53" customFormat="1" ht="43.5" customHeight="1" x14ac:dyDescent="0.25">
      <c r="A9" s="91">
        <v>1</v>
      </c>
      <c r="B9" s="92" t="s">
        <v>296</v>
      </c>
      <c r="C9" s="91" t="s">
        <v>297</v>
      </c>
      <c r="D9" s="17">
        <v>49</v>
      </c>
      <c r="E9" s="17">
        <v>46</v>
      </c>
      <c r="F9" s="17">
        <v>46</v>
      </c>
      <c r="G9" s="17">
        <v>53</v>
      </c>
      <c r="H9" s="17">
        <v>57</v>
      </c>
      <c r="I9" s="17">
        <v>58</v>
      </c>
      <c r="J9" s="17">
        <v>60</v>
      </c>
      <c r="K9" s="17">
        <f>I9</f>
        <v>58</v>
      </c>
      <c r="L9" s="13">
        <v>65</v>
      </c>
      <c r="M9" s="13">
        <v>70</v>
      </c>
      <c r="N9" s="13">
        <f>M9</f>
        <v>70</v>
      </c>
      <c r="O9" s="87">
        <f>K9/D9%</f>
        <v>118.36734693877551</v>
      </c>
      <c r="P9" s="87">
        <f>K9/F9%</f>
        <v>126.08695652173913</v>
      </c>
      <c r="Q9" s="87">
        <f>N9/F9%</f>
        <v>152.17391304347825</v>
      </c>
      <c r="R9" s="144" t="s">
        <v>339</v>
      </c>
      <c r="S9" s="144" t="s">
        <v>339</v>
      </c>
      <c r="T9" s="14"/>
    </row>
    <row r="10" spans="1:20" s="53" customFormat="1" ht="43.5" customHeight="1" x14ac:dyDescent="0.25">
      <c r="A10" s="91"/>
      <c r="B10" s="92" t="s">
        <v>130</v>
      </c>
      <c r="C10" s="91"/>
      <c r="D10" s="17"/>
      <c r="E10" s="17"/>
      <c r="G10" s="17"/>
      <c r="H10" s="17"/>
      <c r="I10" s="14"/>
      <c r="J10" s="14"/>
      <c r="K10" s="14"/>
      <c r="L10" s="13"/>
      <c r="M10" s="13"/>
      <c r="N10" s="13"/>
      <c r="O10" s="87"/>
      <c r="P10" s="87"/>
      <c r="Q10" s="87"/>
      <c r="R10" s="87"/>
      <c r="S10" s="87"/>
      <c r="T10" s="14"/>
    </row>
    <row r="11" spans="1:20" s="53" customFormat="1" ht="43.5" customHeight="1" x14ac:dyDescent="0.25">
      <c r="A11" s="91"/>
      <c r="B11" s="92" t="s">
        <v>298</v>
      </c>
      <c r="C11" s="91" t="s">
        <v>297</v>
      </c>
      <c r="D11" s="17">
        <v>6</v>
      </c>
      <c r="E11" s="17">
        <v>4</v>
      </c>
      <c r="F11" s="17">
        <v>19</v>
      </c>
      <c r="G11" s="17">
        <v>3</v>
      </c>
      <c r="H11" s="17">
        <v>7</v>
      </c>
      <c r="I11" s="17">
        <v>1</v>
      </c>
      <c r="J11" s="17">
        <v>3</v>
      </c>
      <c r="K11" s="17">
        <f>+G11+H11+I11</f>
        <v>11</v>
      </c>
      <c r="L11" s="13">
        <f>3</f>
        <v>3</v>
      </c>
      <c r="M11" s="13">
        <f>3</f>
        <v>3</v>
      </c>
      <c r="N11" s="13">
        <f>+G11+H11+J11+L11+M11</f>
        <v>19</v>
      </c>
      <c r="O11" s="87">
        <f t="shared" ref="O11:O13" si="0">K11/D11%</f>
        <v>183.33333333333334</v>
      </c>
      <c r="P11" s="87">
        <f t="shared" ref="P11:P15" si="1">K11/F11%</f>
        <v>57.89473684210526</v>
      </c>
      <c r="Q11" s="87">
        <f t="shared" ref="Q11:Q15" si="2">N11/F11%</f>
        <v>100</v>
      </c>
      <c r="R11" s="87"/>
      <c r="S11" s="144" t="s">
        <v>339</v>
      </c>
      <c r="T11" s="14"/>
    </row>
    <row r="12" spans="1:20" s="53" customFormat="1" ht="43.5" customHeight="1" x14ac:dyDescent="0.25">
      <c r="A12" s="91"/>
      <c r="B12" s="92" t="s">
        <v>299</v>
      </c>
      <c r="C12" s="91" t="s">
        <v>297</v>
      </c>
      <c r="D12" s="17">
        <v>2</v>
      </c>
      <c r="E12" s="17">
        <v>2</v>
      </c>
      <c r="F12" s="17">
        <v>20</v>
      </c>
      <c r="G12" s="17">
        <v>0</v>
      </c>
      <c r="H12" s="17">
        <v>3</v>
      </c>
      <c r="I12" s="17">
        <v>0</v>
      </c>
      <c r="J12" s="17">
        <v>3</v>
      </c>
      <c r="K12" s="17">
        <f>+G12+H12+J12</f>
        <v>6</v>
      </c>
      <c r="L12" s="13">
        <f>3</f>
        <v>3</v>
      </c>
      <c r="M12" s="13">
        <f>3</f>
        <v>3</v>
      </c>
      <c r="N12" s="13">
        <f>+G12+H12+J12+L12+M12</f>
        <v>12</v>
      </c>
      <c r="O12" s="87">
        <f t="shared" si="0"/>
        <v>300</v>
      </c>
      <c r="P12" s="87">
        <f t="shared" si="1"/>
        <v>30</v>
      </c>
      <c r="Q12" s="87">
        <f t="shared" si="2"/>
        <v>60</v>
      </c>
      <c r="R12" s="87"/>
      <c r="S12" s="87"/>
      <c r="T12" s="14"/>
    </row>
    <row r="13" spans="1:20" s="53" customFormat="1" ht="52.5" customHeight="1" x14ac:dyDescent="0.25">
      <c r="A13" s="91">
        <v>2</v>
      </c>
      <c r="B13" s="92" t="s">
        <v>300</v>
      </c>
      <c r="C13" s="91" t="s">
        <v>44</v>
      </c>
      <c r="D13" s="17">
        <v>269</v>
      </c>
      <c r="E13" s="17">
        <v>322</v>
      </c>
      <c r="F13" s="17">
        <v>322</v>
      </c>
      <c r="G13" s="17">
        <v>371</v>
      </c>
      <c r="H13" s="17">
        <v>399</v>
      </c>
      <c r="I13" s="17">
        <f>I9*7</f>
        <v>406</v>
      </c>
      <c r="J13" s="17">
        <f t="shared" ref="J13:M13" si="3">J9*7</f>
        <v>420</v>
      </c>
      <c r="K13" s="17">
        <f>+J13</f>
        <v>420</v>
      </c>
      <c r="L13" s="17">
        <f t="shared" si="3"/>
        <v>455</v>
      </c>
      <c r="M13" s="17">
        <f t="shared" si="3"/>
        <v>490</v>
      </c>
      <c r="N13" s="13">
        <f t="shared" ref="N12:N15" si="4">M13</f>
        <v>490</v>
      </c>
      <c r="O13" s="87">
        <f t="shared" si="0"/>
        <v>156.13382899628252</v>
      </c>
      <c r="P13" s="87">
        <f t="shared" si="1"/>
        <v>130.43478260869566</v>
      </c>
      <c r="Q13" s="87">
        <f t="shared" si="2"/>
        <v>152.17391304347825</v>
      </c>
      <c r="R13" s="144" t="s">
        <v>339</v>
      </c>
      <c r="S13" s="144" t="s">
        <v>339</v>
      </c>
      <c r="T13" s="14"/>
    </row>
    <row r="14" spans="1:20" s="53" customFormat="1" ht="52.5" customHeight="1" x14ac:dyDescent="0.25">
      <c r="A14" s="91">
        <v>3</v>
      </c>
      <c r="B14" s="92" t="s">
        <v>301</v>
      </c>
      <c r="C14" s="91" t="s">
        <v>44</v>
      </c>
      <c r="D14" s="14"/>
      <c r="E14" s="17">
        <v>276</v>
      </c>
      <c r="F14" s="17">
        <v>276</v>
      </c>
      <c r="G14" s="17">
        <v>417</v>
      </c>
      <c r="H14" s="99">
        <v>421</v>
      </c>
      <c r="I14" s="99">
        <v>431</v>
      </c>
      <c r="J14" s="99">
        <v>451</v>
      </c>
      <c r="K14" s="17">
        <f t="shared" ref="K14:K15" si="5">+J14</f>
        <v>451</v>
      </c>
      <c r="L14" s="100">
        <v>501</v>
      </c>
      <c r="M14" s="100">
        <v>551</v>
      </c>
      <c r="N14" s="13">
        <f t="shared" si="4"/>
        <v>551</v>
      </c>
      <c r="O14" s="87"/>
      <c r="P14" s="87">
        <f t="shared" si="1"/>
        <v>163.40579710144928</v>
      </c>
      <c r="Q14" s="87">
        <f t="shared" si="2"/>
        <v>199.63768115942031</v>
      </c>
      <c r="R14" s="144" t="s">
        <v>339</v>
      </c>
      <c r="S14" s="144" t="s">
        <v>339</v>
      </c>
      <c r="T14" s="14"/>
    </row>
    <row r="15" spans="1:20" s="53" customFormat="1" ht="52.5" customHeight="1" x14ac:dyDescent="0.25">
      <c r="A15" s="91"/>
      <c r="B15" s="92" t="s">
        <v>302</v>
      </c>
      <c r="C15" s="91" t="s">
        <v>44</v>
      </c>
      <c r="D15" s="14"/>
      <c r="E15" s="17">
        <v>138</v>
      </c>
      <c r="F15" s="17">
        <v>138</v>
      </c>
      <c r="G15" s="17">
        <v>254</v>
      </c>
      <c r="H15" s="99">
        <f>261</f>
        <v>261</v>
      </c>
      <c r="I15" s="99">
        <v>261</v>
      </c>
      <c r="J15" s="99">
        <f>261+7</f>
        <v>268</v>
      </c>
      <c r="K15" s="17">
        <f t="shared" si="5"/>
        <v>268</v>
      </c>
      <c r="L15" s="100">
        <v>270</v>
      </c>
      <c r="M15" s="100">
        <v>275</v>
      </c>
      <c r="N15" s="13">
        <f t="shared" si="4"/>
        <v>275</v>
      </c>
      <c r="O15" s="87"/>
      <c r="P15" s="87">
        <f t="shared" si="1"/>
        <v>194.20289855072465</v>
      </c>
      <c r="Q15" s="87">
        <f t="shared" si="2"/>
        <v>199.27536231884059</v>
      </c>
      <c r="R15" s="144" t="s">
        <v>339</v>
      </c>
      <c r="S15" s="144" t="s">
        <v>339</v>
      </c>
      <c r="T15" s="14"/>
    </row>
  </sheetData>
  <mergeCells count="19">
    <mergeCell ref="T5:T6"/>
    <mergeCell ref="A3:T3"/>
    <mergeCell ref="N5:N6"/>
    <mergeCell ref="A2:T2"/>
    <mergeCell ref="P1:T1"/>
    <mergeCell ref="A5:A6"/>
    <mergeCell ref="B5:B6"/>
    <mergeCell ref="C5:C6"/>
    <mergeCell ref="D5:D6"/>
    <mergeCell ref="E5:E6"/>
    <mergeCell ref="G5:G6"/>
    <mergeCell ref="H5:H6"/>
    <mergeCell ref="I5:J5"/>
    <mergeCell ref="L5:L6"/>
    <mergeCell ref="M5:M6"/>
    <mergeCell ref="F5:F6"/>
    <mergeCell ref="R5:S5"/>
    <mergeCell ref="K5:K6"/>
    <mergeCell ref="O5:Q5"/>
  </mergeCells>
  <pageMargins left="0.45" right="0.45" top="0.5" bottom="0.5" header="0.3" footer="0.3"/>
  <pageSetup paperSize="9" scale="56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6"/>
  <sheetViews>
    <sheetView zoomScale="85" zoomScaleNormal="85" workbookViewId="0">
      <selection activeCell="I23" sqref="I23"/>
    </sheetView>
  </sheetViews>
  <sheetFormatPr defaultRowHeight="18.75" x14ac:dyDescent="0.3"/>
  <cols>
    <col min="1" max="1" width="9.28515625" style="365" bestFit="1" customWidth="1"/>
    <col min="2" max="4" width="16.5703125" style="365" bestFit="1" customWidth="1"/>
    <col min="5" max="9" width="14.42578125" style="365" bestFit="1" customWidth="1"/>
    <col min="10" max="10" width="16.5703125" style="365" bestFit="1" customWidth="1"/>
    <col min="11" max="16384" width="9.140625" style="365"/>
  </cols>
  <sheetData>
    <row r="1" spans="1:10" s="367" customFormat="1" ht="23.25" customHeight="1" x14ac:dyDescent="0.25">
      <c r="A1" s="366"/>
      <c r="B1" s="366" t="s">
        <v>371</v>
      </c>
      <c r="C1" s="366" t="s">
        <v>372</v>
      </c>
      <c r="D1" s="369" t="s">
        <v>367</v>
      </c>
      <c r="E1" s="366" t="s">
        <v>371</v>
      </c>
      <c r="F1" s="366" t="s">
        <v>372</v>
      </c>
      <c r="G1" s="369" t="s">
        <v>368</v>
      </c>
      <c r="H1" s="366" t="s">
        <v>371</v>
      </c>
      <c r="I1" s="366" t="s">
        <v>372</v>
      </c>
      <c r="J1" s="369" t="s">
        <v>370</v>
      </c>
    </row>
    <row r="2" spans="1:10" s="362" customFormat="1" ht="23.25" customHeight="1" x14ac:dyDescent="0.25">
      <c r="A2" s="361">
        <v>2021</v>
      </c>
      <c r="B2" s="363">
        <v>420175</v>
      </c>
      <c r="C2" s="363">
        <v>442875</v>
      </c>
      <c r="D2" s="370">
        <v>575917</v>
      </c>
      <c r="E2" s="368">
        <v>181300</v>
      </c>
      <c r="F2" s="368">
        <v>190000</v>
      </c>
      <c r="G2" s="370">
        <v>197008</v>
      </c>
      <c r="H2" s="363">
        <v>420175</v>
      </c>
      <c r="I2" s="363">
        <v>442875</v>
      </c>
      <c r="J2" s="370">
        <v>575917</v>
      </c>
    </row>
    <row r="3" spans="1:10" s="362" customFormat="1" ht="23.25" customHeight="1" x14ac:dyDescent="0.25">
      <c r="A3" s="361">
        <v>2022</v>
      </c>
      <c r="B3" s="363">
        <v>417792</v>
      </c>
      <c r="C3" s="363">
        <v>423792</v>
      </c>
      <c r="D3" s="370">
        <v>489124</v>
      </c>
      <c r="E3" s="368">
        <v>180000</v>
      </c>
      <c r="F3" s="368">
        <v>186000</v>
      </c>
      <c r="G3" s="370">
        <v>116774</v>
      </c>
      <c r="H3" s="363">
        <v>417792</v>
      </c>
      <c r="I3" s="363">
        <v>423792</v>
      </c>
      <c r="J3" s="370">
        <v>484007</v>
      </c>
    </row>
    <row r="4" spans="1:10" s="362" customFormat="1" ht="23.25" customHeight="1" x14ac:dyDescent="0.25">
      <c r="A4" s="361" t="s">
        <v>369</v>
      </c>
      <c r="B4" s="363"/>
      <c r="C4" s="363"/>
      <c r="D4" s="370">
        <v>275989</v>
      </c>
      <c r="E4" s="368"/>
      <c r="F4" s="368"/>
      <c r="G4" s="370">
        <v>45878</v>
      </c>
      <c r="H4" s="363"/>
      <c r="I4" s="363"/>
      <c r="J4" s="370">
        <f>122247+46277</f>
        <v>168524</v>
      </c>
    </row>
    <row r="5" spans="1:10" s="362" customFormat="1" ht="23.25" customHeight="1" x14ac:dyDescent="0.25">
      <c r="A5" s="361">
        <v>2023</v>
      </c>
      <c r="B5" s="363">
        <v>464868</v>
      </c>
      <c r="C5" s="363">
        <v>468168</v>
      </c>
      <c r="D5" s="370"/>
      <c r="E5" s="368">
        <v>207300</v>
      </c>
      <c r="F5" s="368">
        <v>207000</v>
      </c>
      <c r="G5" s="370"/>
      <c r="H5" s="363">
        <v>464868</v>
      </c>
      <c r="I5" s="363">
        <v>468168</v>
      </c>
      <c r="J5" s="370"/>
    </row>
    <row r="6" spans="1:10" s="362" customFormat="1" ht="23.25" customHeight="1" x14ac:dyDescent="0.25">
      <c r="A6" s="361"/>
      <c r="B6" s="364">
        <f t="shared" ref="B6:C6" si="0">+B2+B3+B4+B5</f>
        <v>1302835</v>
      </c>
      <c r="C6" s="364">
        <f t="shared" si="0"/>
        <v>1334835</v>
      </c>
      <c r="D6" s="371">
        <f>+D2+D3+D4+D5</f>
        <v>1341030</v>
      </c>
      <c r="E6" s="364">
        <f t="shared" ref="E6:F6" si="1">+E2+E3+E4+E5</f>
        <v>568600</v>
      </c>
      <c r="F6" s="364">
        <f t="shared" si="1"/>
        <v>583000</v>
      </c>
      <c r="G6" s="371">
        <f t="shared" ref="G6:J6" si="2">+G2+G3+G4</f>
        <v>359660</v>
      </c>
      <c r="H6" s="364">
        <f t="shared" si="2"/>
        <v>837967</v>
      </c>
      <c r="I6" s="364">
        <f t="shared" si="2"/>
        <v>866667</v>
      </c>
      <c r="J6" s="371">
        <f t="shared" si="2"/>
        <v>1228448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1. CTCY</vt:lpstr>
      <vt:lpstr>2. NN-LN-TS</vt:lpstr>
      <vt:lpstr>3. CN</vt:lpstr>
      <vt:lpstr>4. DV</vt:lpstr>
      <vt:lpstr>5. GDĐT-KHCN</vt:lpstr>
      <vt:lpstr>6. DSYT</vt:lpstr>
      <vt:lpstr>7. HTX</vt:lpstr>
      <vt:lpstr>Sheet1</vt:lpstr>
      <vt:lpstr>'1. CTCY'!Print_Titles</vt:lpstr>
      <vt:lpstr>'2. NN-LN-TS'!Print_Titles</vt:lpstr>
      <vt:lpstr>'4. DV'!Print_Titles</vt:lpstr>
      <vt:lpstr>'5. GDĐT-KHCN'!Print_Titles</vt:lpstr>
      <vt:lpstr>'6. DSYT'!Print_Titles</vt:lpstr>
      <vt:lpstr>'7. HTX'!Print_Titles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2023-05-17T03:53:30Z</dcterms:modified>
</cp:coreProperties>
</file>